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E:\Hojas de Calculo\Mis Hojas de Calculo\Ingeniería Sismica\"/>
    </mc:Choice>
  </mc:AlternateContent>
  <bookViews>
    <workbookView xWindow="0" yWindow="0" windowWidth="20490" windowHeight="8340" activeTab="4" xr2:uid="{00000000-000D-0000-FFFF-FFFF00000000}"/>
  </bookViews>
  <sheets>
    <sheet name="E-Diseño" sheetId="5" r:id="rId1"/>
    <sheet name="Sa-Vertical" sheetId="9" r:id="rId2"/>
    <sheet name="Sv-T" sheetId="6" r:id="rId3"/>
    <sheet name="Sd-T" sheetId="7" r:id="rId4"/>
    <sheet name="Espectro" sheetId="2" r:id="rId5"/>
    <sheet name="Parametros" sheetId="1" r:id="rId6"/>
    <sheet name="Hoja1" sheetId="8" r:id="rId7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L7" i="8" l="1"/>
  <c r="P12" i="8" l="1"/>
  <c r="J21" i="8" l="1"/>
  <c r="J22" i="8"/>
  <c r="J20" i="8"/>
  <c r="J19" i="8"/>
  <c r="L11" i="8" l="1"/>
  <c r="J12" i="8"/>
  <c r="L10" i="8"/>
  <c r="N10" i="8" s="1"/>
  <c r="P10" i="8" s="1"/>
  <c r="I14" i="8"/>
  <c r="H7" i="8"/>
  <c r="N11" i="8" l="1"/>
  <c r="K16" i="8"/>
  <c r="K17" i="8" s="1"/>
  <c r="H11" i="2"/>
  <c r="J7" i="2" l="1"/>
  <c r="J6" i="2"/>
  <c r="O25" i="2" s="1"/>
  <c r="K5" i="2"/>
  <c r="K4" i="2"/>
  <c r="K3" i="2"/>
  <c r="B11" i="2"/>
  <c r="B10" i="2"/>
  <c r="K8" i="2"/>
  <c r="K9" i="2" s="1"/>
  <c r="D15" i="2" l="1"/>
  <c r="L16" i="2"/>
  <c r="N23" i="2" s="1"/>
  <c r="L15" i="2"/>
  <c r="N22" i="2" s="1"/>
  <c r="C15" i="2"/>
  <c r="L18" i="2"/>
  <c r="N18" i="2" s="1"/>
  <c r="L17" i="2"/>
  <c r="L19" i="2"/>
  <c r="L20" i="2"/>
  <c r="B16" i="2"/>
  <c r="D16" i="2" s="1"/>
  <c r="F15" i="2"/>
  <c r="H15" i="2" s="1"/>
  <c r="Q19" i="2" l="1"/>
  <c r="F16" i="2"/>
  <c r="H16" i="2" s="1"/>
  <c r="N20" i="2"/>
  <c r="Q20" i="2"/>
  <c r="M22" i="2"/>
  <c r="R18" i="2" s="1"/>
  <c r="Q17" i="2"/>
  <c r="Q18" i="2"/>
  <c r="E15" i="2"/>
  <c r="G15" i="2" s="1"/>
  <c r="N19" i="2"/>
  <c r="M23" i="2"/>
  <c r="C16" i="2"/>
  <c r="E16" i="2" s="1"/>
  <c r="G16" i="2" s="1"/>
  <c r="I16" i="2"/>
  <c r="N17" i="2"/>
  <c r="B17" i="2"/>
  <c r="D17" i="2" s="1"/>
  <c r="F17" i="2" s="1"/>
  <c r="H17" i="2" s="1"/>
  <c r="O22" i="2" l="1"/>
  <c r="O23" i="2"/>
  <c r="M20" i="2" s="1"/>
  <c r="R20" i="2"/>
  <c r="C17" i="2"/>
  <c r="E17" i="2" s="1"/>
  <c r="G17" i="2" s="1"/>
  <c r="P19" i="2"/>
  <c r="O19" i="2"/>
  <c r="P17" i="2"/>
  <c r="O17" i="2"/>
  <c r="B18" i="2"/>
  <c r="D18" i="2" s="1"/>
  <c r="F18" i="2" s="1"/>
  <c r="H18" i="2" s="1"/>
  <c r="I17" i="2"/>
  <c r="J16" i="2"/>
  <c r="K16" i="2"/>
  <c r="M18" i="2" l="1"/>
  <c r="M16" i="2"/>
  <c r="S16" i="2" s="1"/>
  <c r="O20" i="2"/>
  <c r="S20" i="2"/>
  <c r="P18" i="2"/>
  <c r="C18" i="2"/>
  <c r="E18" i="2" s="1"/>
  <c r="G18" i="2" s="1"/>
  <c r="P20" i="2"/>
  <c r="J17" i="2"/>
  <c r="K17" i="2"/>
  <c r="B19" i="2"/>
  <c r="D19" i="2" s="1"/>
  <c r="F19" i="2" s="1"/>
  <c r="H19" i="2" s="1"/>
  <c r="I18" i="2"/>
  <c r="S18" i="2" l="1"/>
  <c r="O18" i="2"/>
  <c r="C19" i="2"/>
  <c r="E19" i="2" s="1"/>
  <c r="G19" i="2" s="1"/>
  <c r="K18" i="2"/>
  <c r="J18" i="2"/>
  <c r="B20" i="2"/>
  <c r="D20" i="2" s="1"/>
  <c r="F20" i="2" s="1"/>
  <c r="H20" i="2" s="1"/>
  <c r="I19" i="2"/>
  <c r="C20" i="2" l="1"/>
  <c r="E20" i="2" s="1"/>
  <c r="G20" i="2" s="1"/>
  <c r="B21" i="2"/>
  <c r="D21" i="2" s="1"/>
  <c r="F21" i="2" s="1"/>
  <c r="H21" i="2" s="1"/>
  <c r="I20" i="2"/>
  <c r="J19" i="2"/>
  <c r="K19" i="2"/>
  <c r="C21" i="2" l="1"/>
  <c r="E21" i="2" s="1"/>
  <c r="G21" i="2" s="1"/>
  <c r="K20" i="2"/>
  <c r="J20" i="2"/>
  <c r="B22" i="2"/>
  <c r="I21" i="2"/>
  <c r="D22" i="2" l="1"/>
  <c r="F22" i="2" s="1"/>
  <c r="H22" i="2" s="1"/>
  <c r="B23" i="2"/>
  <c r="D23" i="2" s="1"/>
  <c r="F23" i="2" s="1"/>
  <c r="H23" i="2" s="1"/>
  <c r="C22" i="2"/>
  <c r="E22" i="2" s="1"/>
  <c r="G22" i="2" s="1"/>
  <c r="I22" i="2"/>
  <c r="J21" i="2"/>
  <c r="K21" i="2"/>
  <c r="C23" i="2" l="1"/>
  <c r="E23" i="2" s="1"/>
  <c r="G23" i="2" s="1"/>
  <c r="K22" i="2"/>
  <c r="J22" i="2"/>
  <c r="B24" i="2"/>
  <c r="D24" i="2" s="1"/>
  <c r="F24" i="2" s="1"/>
  <c r="H24" i="2" s="1"/>
  <c r="I23" i="2"/>
  <c r="C24" i="2" l="1"/>
  <c r="E24" i="2" s="1"/>
  <c r="G24" i="2" s="1"/>
  <c r="J23" i="2"/>
  <c r="B25" i="2"/>
  <c r="I24" i="2"/>
  <c r="K23" i="2"/>
  <c r="C25" i="2" l="1"/>
  <c r="D25" i="2"/>
  <c r="F25" i="2" s="1"/>
  <c r="H25" i="2" s="1"/>
  <c r="J24" i="2"/>
  <c r="K24" i="2"/>
  <c r="B26" i="2"/>
  <c r="I25" i="2"/>
  <c r="E25" i="2"/>
  <c r="G25" i="2" s="1"/>
  <c r="C26" i="2" l="1"/>
  <c r="D26" i="2"/>
  <c r="F26" i="2" s="1"/>
  <c r="H26" i="2" s="1"/>
  <c r="B27" i="2"/>
  <c r="I26" i="2"/>
  <c r="E26" i="2"/>
  <c r="G26" i="2" s="1"/>
  <c r="J25" i="2"/>
  <c r="K25" i="2"/>
  <c r="C27" i="2" l="1"/>
  <c r="E27" i="2" s="1"/>
  <c r="G27" i="2" s="1"/>
  <c r="D27" i="2"/>
  <c r="F27" i="2" s="1"/>
  <c r="H27" i="2" s="1"/>
  <c r="K26" i="2"/>
  <c r="J26" i="2"/>
  <c r="B28" i="2"/>
  <c r="I27" i="2"/>
  <c r="C28" i="2" l="1"/>
  <c r="E28" i="2" s="1"/>
  <c r="G28" i="2" s="1"/>
  <c r="D28" i="2"/>
  <c r="F28" i="2" s="1"/>
  <c r="H28" i="2" s="1"/>
  <c r="B29" i="2"/>
  <c r="I28" i="2"/>
  <c r="J27" i="2"/>
  <c r="K27" i="2"/>
  <c r="C29" i="2" l="1"/>
  <c r="E29" i="2" s="1"/>
  <c r="G29" i="2" s="1"/>
  <c r="D29" i="2"/>
  <c r="F29" i="2" s="1"/>
  <c r="H29" i="2" s="1"/>
  <c r="K28" i="2"/>
  <c r="J28" i="2"/>
  <c r="B30" i="2"/>
  <c r="I29" i="2"/>
  <c r="C30" i="2" l="1"/>
  <c r="E30" i="2" s="1"/>
  <c r="G30" i="2" s="1"/>
  <c r="D30" i="2"/>
  <c r="F30" i="2" s="1"/>
  <c r="H30" i="2" s="1"/>
  <c r="J29" i="2"/>
  <c r="K29" i="2"/>
  <c r="B31" i="2"/>
  <c r="I30" i="2"/>
  <c r="C31" i="2" l="1"/>
  <c r="E31" i="2" s="1"/>
  <c r="G31" i="2" s="1"/>
  <c r="D31" i="2"/>
  <c r="F31" i="2" s="1"/>
  <c r="H31" i="2" s="1"/>
  <c r="B32" i="2"/>
  <c r="I31" i="2"/>
  <c r="J30" i="2"/>
  <c r="K30" i="2"/>
  <c r="C32" i="2" l="1"/>
  <c r="E32" i="2" s="1"/>
  <c r="G32" i="2" s="1"/>
  <c r="D32" i="2"/>
  <c r="F32" i="2" s="1"/>
  <c r="H32" i="2" s="1"/>
  <c r="K31" i="2"/>
  <c r="J31" i="2"/>
  <c r="B33" i="2"/>
  <c r="I32" i="2"/>
  <c r="C33" i="2" l="1"/>
  <c r="E33" i="2" s="1"/>
  <c r="G33" i="2" s="1"/>
  <c r="D33" i="2"/>
  <c r="F33" i="2" s="1"/>
  <c r="H33" i="2" s="1"/>
  <c r="B34" i="2"/>
  <c r="I33" i="2"/>
  <c r="K32" i="2"/>
  <c r="J32" i="2"/>
  <c r="C34" i="2" l="1"/>
  <c r="E34" i="2" s="1"/>
  <c r="G34" i="2" s="1"/>
  <c r="D34" i="2"/>
  <c r="F34" i="2" s="1"/>
  <c r="H34" i="2" s="1"/>
  <c r="K33" i="2"/>
  <c r="J33" i="2"/>
  <c r="B35" i="2"/>
  <c r="I34" i="2"/>
  <c r="C35" i="2" l="1"/>
  <c r="E35" i="2" s="1"/>
  <c r="G35" i="2" s="1"/>
  <c r="D35" i="2"/>
  <c r="F35" i="2" s="1"/>
  <c r="H35" i="2" s="1"/>
  <c r="B36" i="2"/>
  <c r="I35" i="2"/>
  <c r="K34" i="2"/>
  <c r="J34" i="2"/>
  <c r="C36" i="2" l="1"/>
  <c r="E36" i="2" s="1"/>
  <c r="G36" i="2" s="1"/>
  <c r="D36" i="2"/>
  <c r="F36" i="2" s="1"/>
  <c r="H36" i="2" s="1"/>
  <c r="J35" i="2"/>
  <c r="K35" i="2"/>
  <c r="B37" i="2"/>
  <c r="I36" i="2"/>
  <c r="C37" i="2" l="1"/>
  <c r="E37" i="2" s="1"/>
  <c r="G37" i="2" s="1"/>
  <c r="D37" i="2"/>
  <c r="F37" i="2" s="1"/>
  <c r="H37" i="2" s="1"/>
  <c r="B38" i="2"/>
  <c r="I37" i="2"/>
  <c r="K36" i="2"/>
  <c r="J36" i="2"/>
  <c r="C38" i="2" l="1"/>
  <c r="E38" i="2" s="1"/>
  <c r="G38" i="2" s="1"/>
  <c r="D38" i="2"/>
  <c r="F38" i="2" s="1"/>
  <c r="H38" i="2" s="1"/>
  <c r="J37" i="2"/>
  <c r="K37" i="2"/>
  <c r="B39" i="2"/>
  <c r="I38" i="2"/>
  <c r="C39" i="2" l="1"/>
  <c r="E39" i="2" s="1"/>
  <c r="G39" i="2" s="1"/>
  <c r="D39" i="2"/>
  <c r="F39" i="2" s="1"/>
  <c r="H39" i="2" s="1"/>
  <c r="B40" i="2"/>
  <c r="I39" i="2"/>
  <c r="K38" i="2"/>
  <c r="J38" i="2"/>
  <c r="C40" i="2" l="1"/>
  <c r="E40" i="2" s="1"/>
  <c r="G40" i="2" s="1"/>
  <c r="D40" i="2"/>
  <c r="F40" i="2" s="1"/>
  <c r="H40" i="2" s="1"/>
  <c r="J39" i="2"/>
  <c r="K39" i="2"/>
  <c r="B41" i="2"/>
  <c r="D41" i="2" s="1"/>
  <c r="F41" i="2" s="1"/>
  <c r="H41" i="2" s="1"/>
  <c r="I40" i="2"/>
  <c r="C41" i="2" l="1"/>
  <c r="E41" i="2" s="1"/>
  <c r="G41" i="2" s="1"/>
  <c r="B42" i="2"/>
  <c r="D42" i="2" s="1"/>
  <c r="F42" i="2" s="1"/>
  <c r="H42" i="2" s="1"/>
  <c r="B43" i="2"/>
  <c r="D43" i="2" s="1"/>
  <c r="F43" i="2" s="1"/>
  <c r="H43" i="2" s="1"/>
  <c r="I41" i="2"/>
  <c r="J40" i="2"/>
  <c r="K40" i="2"/>
  <c r="C42" i="2" l="1"/>
  <c r="E42" i="2" s="1"/>
  <c r="G42" i="2" s="1"/>
  <c r="I42" i="2"/>
  <c r="C43" i="2"/>
  <c r="E43" i="2" s="1"/>
  <c r="G43" i="2" s="1"/>
  <c r="B44" i="2"/>
  <c r="D44" i="2" s="1"/>
  <c r="F44" i="2" s="1"/>
  <c r="H44" i="2" s="1"/>
  <c r="J41" i="2"/>
  <c r="K41" i="2"/>
  <c r="B45" i="2"/>
  <c r="I43" i="2"/>
  <c r="C45" i="2" l="1"/>
  <c r="E45" i="2" s="1"/>
  <c r="G45" i="2" s="1"/>
  <c r="D45" i="2"/>
  <c r="F45" i="2" s="1"/>
  <c r="H45" i="2" s="1"/>
  <c r="K42" i="2"/>
  <c r="J42" i="2"/>
  <c r="C44" i="2"/>
  <c r="E44" i="2" s="1"/>
  <c r="G44" i="2" s="1"/>
  <c r="I44" i="2"/>
  <c r="B46" i="2"/>
  <c r="I45" i="2"/>
  <c r="J43" i="2"/>
  <c r="K43" i="2"/>
  <c r="C46" i="2" l="1"/>
  <c r="E46" i="2" s="1"/>
  <c r="G46" i="2" s="1"/>
  <c r="D46" i="2"/>
  <c r="F46" i="2" s="1"/>
  <c r="H46" i="2" s="1"/>
  <c r="K44" i="2"/>
  <c r="J44" i="2"/>
  <c r="J45" i="2"/>
  <c r="K45" i="2"/>
  <c r="B47" i="2"/>
  <c r="I46" i="2"/>
  <c r="C47" i="2" l="1"/>
  <c r="E47" i="2" s="1"/>
  <c r="G47" i="2" s="1"/>
  <c r="D47" i="2"/>
  <c r="F47" i="2" s="1"/>
  <c r="H47" i="2" s="1"/>
  <c r="B48" i="2"/>
  <c r="I47" i="2"/>
  <c r="J46" i="2"/>
  <c r="K46" i="2"/>
  <c r="C48" i="2" l="1"/>
  <c r="E48" i="2" s="1"/>
  <c r="G48" i="2" s="1"/>
  <c r="D48" i="2"/>
  <c r="F48" i="2" s="1"/>
  <c r="H48" i="2" s="1"/>
  <c r="J47" i="2"/>
  <c r="K47" i="2"/>
  <c r="B49" i="2"/>
  <c r="I48" i="2"/>
  <c r="C49" i="2" l="1"/>
  <c r="E49" i="2" s="1"/>
  <c r="G49" i="2" s="1"/>
  <c r="D49" i="2"/>
  <c r="F49" i="2" s="1"/>
  <c r="H49" i="2" s="1"/>
  <c r="B50" i="2"/>
  <c r="I49" i="2"/>
  <c r="K48" i="2"/>
  <c r="J48" i="2"/>
  <c r="C50" i="2" l="1"/>
  <c r="E50" i="2" s="1"/>
  <c r="G50" i="2" s="1"/>
  <c r="D50" i="2"/>
  <c r="F50" i="2" s="1"/>
  <c r="H50" i="2" s="1"/>
  <c r="J49" i="2"/>
  <c r="K49" i="2"/>
  <c r="B51" i="2"/>
  <c r="I50" i="2"/>
  <c r="C51" i="2" l="1"/>
  <c r="E51" i="2" s="1"/>
  <c r="G51" i="2" s="1"/>
  <c r="D51" i="2"/>
  <c r="F51" i="2" s="1"/>
  <c r="H51" i="2" s="1"/>
  <c r="B52" i="2"/>
  <c r="I51" i="2"/>
  <c r="J50" i="2"/>
  <c r="K50" i="2"/>
  <c r="C52" i="2" l="1"/>
  <c r="E52" i="2" s="1"/>
  <c r="G52" i="2" s="1"/>
  <c r="D52" i="2"/>
  <c r="F52" i="2" s="1"/>
  <c r="H52" i="2" s="1"/>
  <c r="J51" i="2"/>
  <c r="K51" i="2"/>
  <c r="I52" i="2"/>
  <c r="K52" i="2" l="1"/>
  <c r="J52" i="2"/>
</calcChain>
</file>

<file path=xl/sharedStrings.xml><?xml version="1.0" encoding="utf-8"?>
<sst xmlns="http://schemas.openxmlformats.org/spreadsheetml/2006/main" count="146" uniqueCount="110">
  <si>
    <t>Pesos de Losas Llena</t>
  </si>
  <si>
    <t>Espesor</t>
  </si>
  <si>
    <t>Peso</t>
  </si>
  <si>
    <t>S1</t>
  </si>
  <si>
    <t>S2</t>
  </si>
  <si>
    <t>Suelos Intermedios</t>
  </si>
  <si>
    <t>S3</t>
  </si>
  <si>
    <t>Concreto Armado, Pórticos</t>
  </si>
  <si>
    <t>S4</t>
  </si>
  <si>
    <t>Concreto Armado, Dual</t>
  </si>
  <si>
    <t>Concreto Armado, De Muros Estructurales</t>
  </si>
  <si>
    <t>Edificaciones Escenciales</t>
  </si>
  <si>
    <t>Concreto Armado, Muros de Ductilidad Limitada</t>
  </si>
  <si>
    <t>B</t>
  </si>
  <si>
    <t>Edificaciones Importantes</t>
  </si>
  <si>
    <t>Albañilería Armada o Confinada</t>
  </si>
  <si>
    <t>C</t>
  </si>
  <si>
    <t>Edificaciones Comunes</t>
  </si>
  <si>
    <t>Madera (Por esfuerzos Admisibles)</t>
  </si>
  <si>
    <t>D</t>
  </si>
  <si>
    <t>Edificaciones Menores</t>
  </si>
  <si>
    <t>Estructuras de mamposteria y para todos los edificios de concreto armado duales, de muros estructurales y muros de ductilidad limitada.</t>
  </si>
  <si>
    <t>Categoría :</t>
  </si>
  <si>
    <t>Z =</t>
  </si>
  <si>
    <t>Zona :</t>
  </si>
  <si>
    <t>U =</t>
  </si>
  <si>
    <t>Suelo :</t>
  </si>
  <si>
    <t>S =</t>
  </si>
  <si>
    <t>T</t>
  </si>
  <si>
    <t>ZUCS/R</t>
  </si>
  <si>
    <t>Sistema Estructural :</t>
  </si>
  <si>
    <t>R =</t>
  </si>
  <si>
    <t>C/R</t>
  </si>
  <si>
    <t>A1</t>
  </si>
  <si>
    <t>A2</t>
  </si>
  <si>
    <t>So</t>
  </si>
  <si>
    <t>Roca Dura</t>
  </si>
  <si>
    <t>Roca o Suelos muy Rígidos</t>
  </si>
  <si>
    <t>Suelos Blandos</t>
  </si>
  <si>
    <t>Condiciones Excepcionales</t>
  </si>
  <si>
    <t>Ip =</t>
  </si>
  <si>
    <t>Ia =</t>
  </si>
  <si>
    <t>Z1</t>
  </si>
  <si>
    <t>Z2</t>
  </si>
  <si>
    <t>Z3</t>
  </si>
  <si>
    <t>Z4</t>
  </si>
  <si>
    <t>Tp</t>
  </si>
  <si>
    <t>Ts</t>
  </si>
  <si>
    <t>Irregular en Planta</t>
  </si>
  <si>
    <t>Irregular en Altura</t>
  </si>
  <si>
    <t>Verificación de Irregularidad :</t>
  </si>
  <si>
    <t>ω</t>
  </si>
  <si>
    <t>Sv</t>
  </si>
  <si>
    <t>Sd</t>
  </si>
  <si>
    <t>Sa/g</t>
  </si>
  <si>
    <t>a) Pórticos de Concreto Armado sin Muros de Corte                                     b) Pórticos Dúctiles de Acero con uniones resistentes a momentos sin Arriostramientos.</t>
  </si>
  <si>
    <t>a) Pórticos de Concreto Armado con muros en las cajas de ascensores y escaleras.                                                                                                                b) Pórticos de Acero Arriostrados.</t>
  </si>
  <si>
    <t>TL</t>
  </si>
  <si>
    <t>Pórticos Especiales Resistentes a Momentos (SMF)</t>
  </si>
  <si>
    <t>Pórticos Intermedios Resistentes a Momentos (IMF)</t>
  </si>
  <si>
    <t>Pórticos Ordinarios Resistentes a Momentos (OMF)</t>
  </si>
  <si>
    <t>Pórticos Especiales Concéntricamente Arriostrados (SCBF)</t>
  </si>
  <si>
    <t>Pórticos Ordinarios Concéntricamente Arriostrados (OCBF)</t>
  </si>
  <si>
    <t>Pórticos Excéntricamente Arriostrados (EBF)</t>
  </si>
  <si>
    <t>Región :</t>
  </si>
  <si>
    <t>Loreto</t>
  </si>
  <si>
    <t>Ucayali</t>
  </si>
  <si>
    <t>Madre de Dios</t>
  </si>
  <si>
    <t>Puno</t>
  </si>
  <si>
    <t>Amazonas</t>
  </si>
  <si>
    <t>San Martín</t>
  </si>
  <si>
    <t>Huánuco</t>
  </si>
  <si>
    <t>Pasco</t>
  </si>
  <si>
    <t>Junín</t>
  </si>
  <si>
    <t>Cusco</t>
  </si>
  <si>
    <t>Huancavelica</t>
  </si>
  <si>
    <t>Ayacucho</t>
  </si>
  <si>
    <t>Apurimac</t>
  </si>
  <si>
    <t>Tumbes</t>
  </si>
  <si>
    <t>Piura</t>
  </si>
  <si>
    <t>Lambayeque</t>
  </si>
  <si>
    <t>Cajamarca</t>
  </si>
  <si>
    <t>La Libertad</t>
  </si>
  <si>
    <t>Ancash</t>
  </si>
  <si>
    <t>Lima</t>
  </si>
  <si>
    <t>Callao</t>
  </si>
  <si>
    <t>Ica</t>
  </si>
  <si>
    <t>Arequipa</t>
  </si>
  <si>
    <t>Moquegua</t>
  </si>
  <si>
    <t>Tacna</t>
  </si>
  <si>
    <t>Provincia :</t>
  </si>
  <si>
    <t>Distrito :</t>
  </si>
  <si>
    <t>AQUÍ SE CAMBIAN LOS VALORES</t>
  </si>
  <si>
    <t>Ts = Tp =</t>
  </si>
  <si>
    <t>S0</t>
  </si>
  <si>
    <t>C =</t>
  </si>
  <si>
    <r>
      <t>S</t>
    </r>
    <r>
      <rPr>
        <sz val="8"/>
        <color theme="1"/>
        <rFont val="Calibri"/>
        <family val="2"/>
        <scheme val="minor"/>
      </rPr>
      <t>DS</t>
    </r>
    <r>
      <rPr>
        <sz val="11"/>
        <color theme="1"/>
        <rFont val="Calibri"/>
        <family val="2"/>
        <scheme val="minor"/>
      </rPr>
      <t xml:space="preserve"> =</t>
    </r>
  </si>
  <si>
    <r>
      <t>S</t>
    </r>
    <r>
      <rPr>
        <sz val="8"/>
        <color theme="1"/>
        <rFont val="Calibri"/>
        <family val="2"/>
        <scheme val="minor"/>
      </rPr>
      <t>D1</t>
    </r>
    <r>
      <rPr>
        <sz val="11"/>
        <color theme="1"/>
        <rFont val="Calibri"/>
        <family val="2"/>
        <scheme val="minor"/>
      </rPr>
      <t xml:space="preserve"> =</t>
    </r>
  </si>
  <si>
    <r>
      <t>S</t>
    </r>
    <r>
      <rPr>
        <sz val="8"/>
        <color theme="1"/>
        <rFont val="Calibri"/>
        <family val="2"/>
        <scheme val="minor"/>
      </rPr>
      <t>MS</t>
    </r>
    <r>
      <rPr>
        <sz val="11"/>
        <color theme="1"/>
        <rFont val="Calibri"/>
        <family val="2"/>
        <scheme val="minor"/>
      </rPr>
      <t xml:space="preserve"> =</t>
    </r>
  </si>
  <si>
    <r>
      <t>S</t>
    </r>
    <r>
      <rPr>
        <sz val="8"/>
        <color theme="1"/>
        <rFont val="Calibri"/>
        <family val="2"/>
        <scheme val="minor"/>
      </rPr>
      <t>M1</t>
    </r>
    <r>
      <rPr>
        <sz val="11"/>
        <color theme="1"/>
        <rFont val="Calibri"/>
        <family val="2"/>
        <scheme val="minor"/>
      </rPr>
      <t xml:space="preserve"> =</t>
    </r>
  </si>
  <si>
    <t>Ss =</t>
  </si>
  <si>
    <t>S1 =</t>
  </si>
  <si>
    <t>Cv</t>
  </si>
  <si>
    <t>(2/3)ZUCvS/R</t>
  </si>
  <si>
    <t>Cv/R</t>
  </si>
  <si>
    <t>C/R = Cv/R</t>
  </si>
  <si>
    <t>Sav = (2/3)Sa/g</t>
  </si>
  <si>
    <t>Morales</t>
  </si>
  <si>
    <r>
      <t>R</t>
    </r>
    <r>
      <rPr>
        <i/>
        <sz val="8"/>
        <rFont val="Calibri"/>
        <family val="2"/>
        <scheme val="minor"/>
      </rPr>
      <t>o</t>
    </r>
    <r>
      <rPr>
        <i/>
        <sz val="10"/>
        <rFont val="Calibri"/>
        <family val="2"/>
        <scheme val="minor"/>
      </rPr>
      <t>=</t>
    </r>
  </si>
  <si>
    <t>ESPECTRO DE DISEÑO - NTE E.030 - 2017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</si>
</sst>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General\ &quot;m&quot;"/>
    <numFmt numFmtId="165" formatCode="0.0000"/>
    <numFmt numFmtId="166" formatCode="0.0"/>
    <numFmt numFmtId="167" formatCode="&quot;Tp = &quot;\ 0.00"/>
    <numFmt numFmtId="168" formatCode="&quot;TL = &quot;0.00"/>
    <numFmt numFmtId="169" formatCode="0.00000"/>
    <numFmt numFmtId="170" formatCode="&quot;0.2Tp = &quot;General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Berlin Sans FB Demi"/>
      <family val="2"/>
    </font>
    <font>
      <sz val="12"/>
      <color theme="1"/>
      <name val="Berlin Sans FB Demi"/>
      <family val="2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4"/>
      <color rgb="FFFF0000"/>
      <name val="Berlin Sans FB Demi"/>
      <family val="2"/>
    </font>
    <font>
      <i/>
      <sz val="10"/>
      <name val="Calibri"/>
      <family val="2"/>
      <scheme val="minor"/>
    </font>
    <font>
      <i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5" xfId="0" applyFont="1" applyFill="1" applyBorder="1"/>
    <xf numFmtId="0" fontId="4" fillId="0" borderId="0" xfId="0" applyFont="1" applyFill="1"/>
    <xf numFmtId="0" fontId="5" fillId="0" borderId="7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8" fillId="2" borderId="0" xfId="0" applyFont="1" applyFill="1"/>
    <xf numFmtId="0" fontId="8" fillId="2" borderId="0" xfId="0" applyFont="1" applyFill="1" applyBorder="1" applyAlignment="1"/>
    <xf numFmtId="0" fontId="9" fillId="2" borderId="12" xfId="0" applyFont="1" applyFill="1" applyBorder="1" applyAlignment="1"/>
    <xf numFmtId="0" fontId="1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center" vertical="center"/>
    </xf>
    <xf numFmtId="0" fontId="4" fillId="2" borderId="5" xfId="0" applyFont="1" applyFill="1" applyBorder="1" applyAlignment="1" applyProtection="1">
      <alignment horizont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4" fillId="2" borderId="6" xfId="0" applyFont="1" applyFill="1" applyBorder="1" applyAlignment="1" applyProtection="1">
      <alignment horizontal="center"/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0" fontId="9" fillId="2" borderId="0" xfId="0" applyFont="1" applyFill="1" applyProtection="1">
      <protection hidden="1"/>
    </xf>
    <xf numFmtId="0" fontId="9" fillId="2" borderId="0" xfId="0" applyFont="1" applyFill="1" applyBorder="1" applyAlignment="1" applyProtection="1">
      <protection hidden="1"/>
    </xf>
    <xf numFmtId="0" fontId="8" fillId="2" borderId="0" xfId="0" applyFont="1" applyFill="1" applyBorder="1" applyAlignment="1" applyProtection="1">
      <protection hidden="1"/>
    </xf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4" fillId="2" borderId="14" xfId="0" applyFont="1" applyFill="1" applyBorder="1" applyAlignment="1" applyProtection="1">
      <alignment horizontal="center"/>
      <protection hidden="1"/>
    </xf>
    <xf numFmtId="0" fontId="4" fillId="2" borderId="15" xfId="0" applyFont="1" applyFill="1" applyBorder="1" applyAlignment="1" applyProtection="1">
      <alignment horizontal="center"/>
      <protection hidden="1"/>
    </xf>
    <xf numFmtId="0" fontId="4" fillId="2" borderId="13" xfId="0" applyFont="1" applyFill="1" applyBorder="1" applyAlignment="1" applyProtection="1">
      <alignment horizontal="center"/>
      <protection hidden="1"/>
    </xf>
    <xf numFmtId="165" fontId="1" fillId="0" borderId="5" xfId="0" applyNumberFormat="1" applyFont="1" applyFill="1" applyBorder="1" applyAlignment="1" applyProtection="1">
      <alignment horizontal="left"/>
      <protection hidden="1"/>
    </xf>
    <xf numFmtId="165" fontId="1" fillId="2" borderId="0" xfId="0" applyNumberFormat="1" applyFont="1" applyFill="1" applyAlignment="1" applyProtection="1">
      <alignment horizontal="left"/>
      <protection hidden="1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Protection="1">
      <protection locked="0"/>
    </xf>
    <xf numFmtId="0" fontId="4" fillId="0" borderId="3" xfId="0" applyFont="1" applyFill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4" fillId="0" borderId="5" xfId="0" applyFont="1" applyFill="1" applyBorder="1" applyAlignment="1" applyProtection="1">
      <alignment horizontal="left"/>
      <protection locked="0"/>
    </xf>
    <xf numFmtId="0" fontId="4" fillId="0" borderId="5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4" fillId="0" borderId="6" xfId="0" applyFont="1" applyFill="1" applyBorder="1" applyProtection="1">
      <protection locked="0"/>
    </xf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2" fillId="2" borderId="0" xfId="0" applyFont="1" applyFill="1" applyAlignment="1"/>
    <xf numFmtId="2" fontId="9" fillId="2" borderId="0" xfId="0" applyNumberFormat="1" applyFont="1" applyFill="1" applyBorder="1" applyAlignment="1" applyProtection="1">
      <protection hidden="1"/>
    </xf>
    <xf numFmtId="0" fontId="10" fillId="2" borderId="0" xfId="0" applyFont="1" applyFill="1"/>
    <xf numFmtId="0" fontId="11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2" fillId="0" borderId="0" xfId="0" applyFont="1"/>
    <xf numFmtId="0" fontId="6" fillId="0" borderId="3" xfId="0" applyFont="1" applyFill="1" applyBorder="1" applyAlignment="1" applyProtection="1">
      <alignment horizontal="left"/>
      <protection locked="0"/>
    </xf>
    <xf numFmtId="169" fontId="12" fillId="0" borderId="0" xfId="0" applyNumberFormat="1" applyFont="1"/>
    <xf numFmtId="0" fontId="14" fillId="2" borderId="0" xfId="0" applyFont="1" applyFill="1" applyBorder="1" applyAlignment="1">
      <alignment horizontal="center"/>
    </xf>
    <xf numFmtId="0" fontId="15" fillId="2" borderId="0" xfId="0" applyFont="1" applyFill="1" applyBorder="1" applyAlignment="1" applyProtection="1">
      <alignment horizontal="center"/>
      <protection hidden="1"/>
    </xf>
    <xf numFmtId="2" fontId="9" fillId="2" borderId="0" xfId="0" applyNumberFormat="1" applyFont="1" applyFill="1" applyProtection="1">
      <protection hidden="1"/>
    </xf>
    <xf numFmtId="0" fontId="9" fillId="2" borderId="0" xfId="0" applyFont="1" applyFill="1"/>
    <xf numFmtId="0" fontId="4" fillId="2" borderId="0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center"/>
    </xf>
    <xf numFmtId="0" fontId="8" fillId="2" borderId="12" xfId="0" applyFont="1" applyFill="1" applyBorder="1" applyAlignment="1"/>
    <xf numFmtId="0" fontId="9" fillId="2" borderId="0" xfId="0" applyFont="1" applyFill="1" applyBorder="1" applyAlignment="1"/>
    <xf numFmtId="170" fontId="9" fillId="2" borderId="0" xfId="0" applyNumberFormat="1" applyFont="1" applyFill="1"/>
    <xf numFmtId="0" fontId="4" fillId="2" borderId="3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5" fillId="2" borderId="11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7" fillId="2" borderId="0" xfId="0" applyFont="1" applyFill="1" applyAlignment="1"/>
    <xf numFmtId="0" fontId="16" fillId="0" borderId="5" xfId="0" applyFont="1" applyFill="1" applyBorder="1" applyAlignment="1">
      <alignment horizontal="right"/>
    </xf>
    <xf numFmtId="0" fontId="16" fillId="2" borderId="0" xfId="0" applyFont="1" applyFill="1" applyAlignment="1">
      <alignment horizontal="right"/>
    </xf>
    <xf numFmtId="0" fontId="18" fillId="0" borderId="2" xfId="0" applyFont="1" applyFill="1" applyBorder="1" applyAlignment="1" applyProtection="1">
      <alignment horizontal="right"/>
      <protection hidden="1"/>
    </xf>
    <xf numFmtId="2" fontId="18" fillId="0" borderId="4" xfId="0" applyNumberFormat="1" applyFont="1" applyFill="1" applyBorder="1" applyAlignment="1" applyProtection="1">
      <alignment horizontal="left"/>
      <protection hidden="1"/>
    </xf>
    <xf numFmtId="0" fontId="18" fillId="0" borderId="5" xfId="0" applyFont="1" applyFill="1" applyBorder="1" applyAlignment="1" applyProtection="1">
      <alignment horizontal="right"/>
      <protection hidden="1"/>
    </xf>
    <xf numFmtId="2" fontId="18" fillId="0" borderId="0" xfId="0" applyNumberFormat="1" applyFont="1" applyFill="1" applyAlignment="1" applyProtection="1">
      <alignment horizontal="left"/>
      <protection hidden="1"/>
    </xf>
    <xf numFmtId="166" fontId="18" fillId="0" borderId="0" xfId="0" applyNumberFormat="1" applyFont="1" applyFill="1" applyAlignment="1" applyProtection="1">
      <alignment horizontal="left"/>
      <protection hidden="1"/>
    </xf>
    <xf numFmtId="0" fontId="8" fillId="2" borderId="0" xfId="0" applyFont="1" applyFill="1" applyAlignment="1" applyProtection="1">
      <alignment horizontal="right"/>
      <protection hidden="1"/>
    </xf>
    <xf numFmtId="2" fontId="8" fillId="2" borderId="0" xfId="0" applyNumberFormat="1" applyFont="1" applyFill="1" applyAlignment="1" applyProtection="1">
      <alignment horizontal="left"/>
      <protection hidden="1"/>
    </xf>
    <xf numFmtId="0" fontId="4" fillId="2" borderId="18" xfId="0" applyFont="1" applyFill="1" applyBorder="1" applyAlignment="1" applyProtection="1">
      <alignment horizontal="center"/>
      <protection hidden="1"/>
    </xf>
    <xf numFmtId="0" fontId="2" fillId="2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7" fontId="18" fillId="0" borderId="8" xfId="0" applyNumberFormat="1" applyFont="1" applyFill="1" applyBorder="1" applyAlignment="1" applyProtection="1">
      <alignment horizontal="center"/>
      <protection hidden="1"/>
    </xf>
    <xf numFmtId="167" fontId="18" fillId="0" borderId="3" xfId="0" applyNumberFormat="1" applyFont="1" applyFill="1" applyBorder="1" applyAlignment="1" applyProtection="1">
      <alignment horizontal="center"/>
      <protection hidden="1"/>
    </xf>
    <xf numFmtId="168" fontId="18" fillId="2" borderId="9" xfId="0" applyNumberFormat="1" applyFont="1" applyFill="1" applyBorder="1" applyAlignment="1" applyProtection="1">
      <alignment horizontal="center"/>
      <protection hidden="1"/>
    </xf>
    <xf numFmtId="168" fontId="18" fillId="2" borderId="12" xfId="0" applyNumberFormat="1" applyFont="1" applyFill="1" applyBorder="1" applyAlignment="1" applyProtection="1">
      <alignment horizontal="center"/>
      <protection hidden="1"/>
    </xf>
    <xf numFmtId="0" fontId="4" fillId="2" borderId="16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6" fillId="0" borderId="8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10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Espectro Inelástico</c:v>
          </c:tx>
          <c:spPr>
            <a:ln w="31750" cap="rnd">
              <a:solidFill>
                <a:schemeClr val="bg2">
                  <a:lumMod val="1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Espectro!$B$15:$B$52</c:f>
              <c:numCache>
                <c:formatCode>General</c:formatCode>
                <c:ptCount val="3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0.25</c:v>
                </c:pt>
                <c:pt idx="12">
                  <c:v>0.3</c:v>
                </c:pt>
                <c:pt idx="13">
                  <c:v>0.35</c:v>
                </c:pt>
                <c:pt idx="14">
                  <c:v>0.39999999999999997</c:v>
                </c:pt>
                <c:pt idx="15">
                  <c:v>0.44999999999999996</c:v>
                </c:pt>
                <c:pt idx="16">
                  <c:v>0.49999999999999994</c:v>
                </c:pt>
                <c:pt idx="17">
                  <c:v>0.54999999999999993</c:v>
                </c:pt>
                <c:pt idx="18">
                  <c:v>0.6</c:v>
                </c:pt>
                <c:pt idx="19">
                  <c:v>0.65</c:v>
                </c:pt>
                <c:pt idx="20">
                  <c:v>0.70000000000000007</c:v>
                </c:pt>
                <c:pt idx="21">
                  <c:v>0.75000000000000011</c:v>
                </c:pt>
                <c:pt idx="22">
                  <c:v>0.80000000000000016</c:v>
                </c:pt>
                <c:pt idx="23">
                  <c:v>0.8500000000000002</c:v>
                </c:pt>
                <c:pt idx="24">
                  <c:v>0.90000000000000024</c:v>
                </c:pt>
                <c:pt idx="25">
                  <c:v>0.95000000000000029</c:v>
                </c:pt>
                <c:pt idx="26">
                  <c:v>1.0000000000000002</c:v>
                </c:pt>
                <c:pt idx="27">
                  <c:v>1.6</c:v>
                </c:pt>
                <c:pt idx="28">
                  <c:v>2</c:v>
                </c:pt>
                <c:pt idx="29">
                  <c:v>2.5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</c:numCache>
            </c:numRef>
          </c:xVal>
          <c:yVal>
            <c:numRef>
              <c:f>Espectro!$G$15:$G$52</c:f>
              <c:numCache>
                <c:formatCode>General</c:formatCode>
                <c:ptCount val="38"/>
                <c:pt idx="0">
                  <c:v>0.1875</c:v>
                </c:pt>
                <c:pt idx="1">
                  <c:v>0.1875</c:v>
                </c:pt>
                <c:pt idx="2">
                  <c:v>0.1875</c:v>
                </c:pt>
                <c:pt idx="3">
                  <c:v>0.1875</c:v>
                </c:pt>
                <c:pt idx="4">
                  <c:v>0.1875</c:v>
                </c:pt>
                <c:pt idx="5">
                  <c:v>0.1875</c:v>
                </c:pt>
                <c:pt idx="6">
                  <c:v>0.1875</c:v>
                </c:pt>
                <c:pt idx="7">
                  <c:v>0.1875</c:v>
                </c:pt>
                <c:pt idx="8">
                  <c:v>0.1875</c:v>
                </c:pt>
                <c:pt idx="9">
                  <c:v>0.1875</c:v>
                </c:pt>
                <c:pt idx="10">
                  <c:v>0.1875</c:v>
                </c:pt>
                <c:pt idx="11">
                  <c:v>0.1875</c:v>
                </c:pt>
                <c:pt idx="12">
                  <c:v>0.1875</c:v>
                </c:pt>
                <c:pt idx="13">
                  <c:v>0.1875</c:v>
                </c:pt>
                <c:pt idx="14">
                  <c:v>0.1875</c:v>
                </c:pt>
                <c:pt idx="15">
                  <c:v>0.1875</c:v>
                </c:pt>
                <c:pt idx="16">
                  <c:v>0.1875</c:v>
                </c:pt>
                <c:pt idx="17">
                  <c:v>0.1875</c:v>
                </c:pt>
                <c:pt idx="18">
                  <c:v>0.1875</c:v>
                </c:pt>
                <c:pt idx="19">
                  <c:v>0.17307692307692304</c:v>
                </c:pt>
                <c:pt idx="20">
                  <c:v>0.16071428571428564</c:v>
                </c:pt>
                <c:pt idx="21">
                  <c:v>0.14999999999999994</c:v>
                </c:pt>
                <c:pt idx="22">
                  <c:v>0.14062499999999997</c:v>
                </c:pt>
                <c:pt idx="23">
                  <c:v>0.13235294117647053</c:v>
                </c:pt>
                <c:pt idx="24">
                  <c:v>0.12499999999999994</c:v>
                </c:pt>
                <c:pt idx="25">
                  <c:v>0.11842105263157889</c:v>
                </c:pt>
                <c:pt idx="26">
                  <c:v>0.11249999999999995</c:v>
                </c:pt>
                <c:pt idx="27">
                  <c:v>7.0312499999999986E-2</c:v>
                </c:pt>
                <c:pt idx="28">
                  <c:v>5.6249999999999994E-2</c:v>
                </c:pt>
                <c:pt idx="29">
                  <c:v>3.5999999999999997E-2</c:v>
                </c:pt>
                <c:pt idx="30">
                  <c:v>2.4999999999999994E-2</c:v>
                </c:pt>
                <c:pt idx="31">
                  <c:v>1.4062499999999999E-2</c:v>
                </c:pt>
                <c:pt idx="32">
                  <c:v>8.9999999999999993E-3</c:v>
                </c:pt>
                <c:pt idx="33">
                  <c:v>6.2499999999999986E-3</c:v>
                </c:pt>
                <c:pt idx="34">
                  <c:v>4.5918367346938771E-3</c:v>
                </c:pt>
                <c:pt idx="35">
                  <c:v>3.5156249999999997E-3</c:v>
                </c:pt>
                <c:pt idx="36">
                  <c:v>2.7777777777777775E-3</c:v>
                </c:pt>
                <c:pt idx="37">
                  <c:v>2.2499999999999998E-3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89-42AC-8364-EA6029EC4362}"/>
            </c:ext>
          </c:extLst>
        </c:ser>
        <c:ser>
          <c:idx val="1"/>
          <c:order val="1"/>
          <c:tx>
            <c:strRef>
              <c:f>Espectro!$J$6</c:f>
              <c:strCache>
                <c:ptCount val="1"/>
                <c:pt idx="0">
                  <c:v>Tp =  0.60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Espectro!$L$17:$L$18</c:f>
              <c:numCache>
                <c:formatCode>0.00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Espectro!$M$17:$M$18</c:f>
              <c:numCache>
                <c:formatCode>General</c:formatCode>
                <c:ptCount val="2"/>
                <c:pt idx="0">
                  <c:v>0</c:v>
                </c:pt>
                <c:pt idx="1">
                  <c:v>0.1875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89-42AC-8364-EA6029EC4362}"/>
            </c:ext>
          </c:extLst>
        </c:ser>
        <c:ser>
          <c:idx val="2"/>
          <c:order val="2"/>
          <c:tx>
            <c:strRef>
              <c:f>Espectro!$J$7</c:f>
              <c:strCache>
                <c:ptCount val="1"/>
                <c:pt idx="0">
                  <c:v>TL = 2.00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Espectro!$L$19:$L$20</c:f>
              <c:numCache>
                <c:formatCode>0.00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Espectro!$M$19:$M$20</c:f>
              <c:numCache>
                <c:formatCode>General</c:formatCode>
                <c:ptCount val="2"/>
                <c:pt idx="0">
                  <c:v>0</c:v>
                </c:pt>
                <c:pt idx="1">
                  <c:v>5.6249999999999994E-2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89-42AC-8364-EA6029EC4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123368"/>
        <c:axId val="320129640"/>
      </c:scatterChart>
      <c:valAx>
        <c:axId val="320123368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Periodo, T(s)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pperplate Gothic Light" panose="020E0507020206020404" pitchFamily="34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320129640"/>
        <c:crosses val="autoZero"/>
        <c:crossBetween val="midCat"/>
      </c:valAx>
      <c:valAx>
        <c:axId val="32012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Sa/g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pperplate Gothic Light" panose="020E0507020206020404" pitchFamily="34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32012336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18405434287588954"/>
          <c:y val="9.6679808838441531E-2"/>
          <c:w val="0.53233147387540514"/>
          <c:h val="4.0858693290469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utura Bk BT" panose="020B0502020204020303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Espectro!$O$24</c:f>
              <c:strCache>
                <c:ptCount val="1"/>
                <c:pt idx="0">
                  <c:v>Sav = (2/3)Sa/g</c:v>
                </c:pt>
              </c:strCache>
            </c:strRef>
          </c:tx>
          <c:spPr>
            <a:ln w="31750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Espectro!$B$15:$B$45</c:f>
              <c:numCache>
                <c:formatCode>General</c:formatCode>
                <c:ptCount val="3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0.25</c:v>
                </c:pt>
                <c:pt idx="12">
                  <c:v>0.3</c:v>
                </c:pt>
                <c:pt idx="13">
                  <c:v>0.35</c:v>
                </c:pt>
                <c:pt idx="14">
                  <c:v>0.39999999999999997</c:v>
                </c:pt>
                <c:pt idx="15">
                  <c:v>0.44999999999999996</c:v>
                </c:pt>
                <c:pt idx="16">
                  <c:v>0.49999999999999994</c:v>
                </c:pt>
                <c:pt idx="17">
                  <c:v>0.54999999999999993</c:v>
                </c:pt>
                <c:pt idx="18">
                  <c:v>0.6</c:v>
                </c:pt>
                <c:pt idx="19">
                  <c:v>0.65</c:v>
                </c:pt>
                <c:pt idx="20">
                  <c:v>0.70000000000000007</c:v>
                </c:pt>
                <c:pt idx="21">
                  <c:v>0.75000000000000011</c:v>
                </c:pt>
                <c:pt idx="22">
                  <c:v>0.80000000000000016</c:v>
                </c:pt>
                <c:pt idx="23">
                  <c:v>0.8500000000000002</c:v>
                </c:pt>
                <c:pt idx="24">
                  <c:v>0.90000000000000024</c:v>
                </c:pt>
                <c:pt idx="25">
                  <c:v>0.95000000000000029</c:v>
                </c:pt>
                <c:pt idx="26">
                  <c:v>1.0000000000000002</c:v>
                </c:pt>
                <c:pt idx="27">
                  <c:v>1.6</c:v>
                </c:pt>
                <c:pt idx="28">
                  <c:v>2</c:v>
                </c:pt>
                <c:pt idx="29">
                  <c:v>2.5</c:v>
                </c:pt>
                <c:pt idx="30">
                  <c:v>3</c:v>
                </c:pt>
              </c:numCache>
            </c:numRef>
          </c:xVal>
          <c:yVal>
            <c:numRef>
              <c:f>Espectro!$H$15:$H$45</c:f>
              <c:numCache>
                <c:formatCode>General</c:formatCode>
                <c:ptCount val="31"/>
                <c:pt idx="0">
                  <c:v>4.9999999999999996E-2</c:v>
                </c:pt>
                <c:pt idx="1">
                  <c:v>6.25E-2</c:v>
                </c:pt>
                <c:pt idx="2">
                  <c:v>7.4999999999999997E-2</c:v>
                </c:pt>
                <c:pt idx="3">
                  <c:v>8.7500000000000008E-2</c:v>
                </c:pt>
                <c:pt idx="4">
                  <c:v>9.9999999999999992E-2</c:v>
                </c:pt>
                <c:pt idx="5">
                  <c:v>0.11249999999999999</c:v>
                </c:pt>
                <c:pt idx="6">
                  <c:v>0.125</c:v>
                </c:pt>
                <c:pt idx="7">
                  <c:v>0.125</c:v>
                </c:pt>
                <c:pt idx="8">
                  <c:v>0.125</c:v>
                </c:pt>
                <c:pt idx="9">
                  <c:v>0.125</c:v>
                </c:pt>
                <c:pt idx="10">
                  <c:v>0.125</c:v>
                </c:pt>
                <c:pt idx="11">
                  <c:v>0.125</c:v>
                </c:pt>
                <c:pt idx="12">
                  <c:v>0.125</c:v>
                </c:pt>
                <c:pt idx="13">
                  <c:v>0.125</c:v>
                </c:pt>
                <c:pt idx="14">
                  <c:v>0.125</c:v>
                </c:pt>
                <c:pt idx="15">
                  <c:v>0.125</c:v>
                </c:pt>
                <c:pt idx="16">
                  <c:v>0.125</c:v>
                </c:pt>
                <c:pt idx="17">
                  <c:v>0.125</c:v>
                </c:pt>
                <c:pt idx="18">
                  <c:v>0.125</c:v>
                </c:pt>
                <c:pt idx="19">
                  <c:v>0.11538461538461536</c:v>
                </c:pt>
                <c:pt idx="20">
                  <c:v>0.10714285714285711</c:v>
                </c:pt>
                <c:pt idx="21">
                  <c:v>9.9999999999999978E-2</c:v>
                </c:pt>
                <c:pt idx="22">
                  <c:v>9.3749999999999986E-2</c:v>
                </c:pt>
                <c:pt idx="23">
                  <c:v>8.8235294117647023E-2</c:v>
                </c:pt>
                <c:pt idx="24">
                  <c:v>8.3333333333333301E-2</c:v>
                </c:pt>
                <c:pt idx="25">
                  <c:v>7.8947368421052586E-2</c:v>
                </c:pt>
                <c:pt idx="26">
                  <c:v>7.4999999999999969E-2</c:v>
                </c:pt>
                <c:pt idx="27">
                  <c:v>4.6874999999999993E-2</c:v>
                </c:pt>
                <c:pt idx="28">
                  <c:v>3.7499999999999999E-2</c:v>
                </c:pt>
                <c:pt idx="29">
                  <c:v>2.4E-2</c:v>
                </c:pt>
                <c:pt idx="30">
                  <c:v>1.6666666666666666E-2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9-4123-BBAA-D5136C8FA064}"/>
            </c:ext>
          </c:extLst>
        </c:ser>
        <c:ser>
          <c:idx val="1"/>
          <c:order val="1"/>
          <c:tx>
            <c:strRef>
              <c:f>Espectro!$J$6</c:f>
              <c:strCache>
                <c:ptCount val="1"/>
                <c:pt idx="0">
                  <c:v>Tp =  0.60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Espectro!$L$17:$L$18</c:f>
              <c:numCache>
                <c:formatCode>0.00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Espectro!$S$17:$S$18</c:f>
              <c:numCache>
                <c:formatCode>General</c:formatCode>
                <c:ptCount val="2"/>
                <c:pt idx="0">
                  <c:v>0</c:v>
                </c:pt>
                <c:pt idx="1">
                  <c:v>0.125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69-4123-BBAA-D5136C8FA064}"/>
            </c:ext>
          </c:extLst>
        </c:ser>
        <c:ser>
          <c:idx val="2"/>
          <c:order val="2"/>
          <c:tx>
            <c:strRef>
              <c:f>Espectro!$J$7</c:f>
              <c:strCache>
                <c:ptCount val="1"/>
                <c:pt idx="0">
                  <c:v>TL = 2.00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Espectro!$L$19:$L$20</c:f>
              <c:numCache>
                <c:formatCode>0.00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Espectro!$S$19:$S$20</c:f>
              <c:numCache>
                <c:formatCode>General</c:formatCode>
                <c:ptCount val="2"/>
                <c:pt idx="0">
                  <c:v>0</c:v>
                </c:pt>
                <c:pt idx="1">
                  <c:v>3.7499999999999999E-2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69-4123-BBAA-D5136C8FA064}"/>
            </c:ext>
          </c:extLst>
        </c:ser>
        <c:ser>
          <c:idx val="3"/>
          <c:order val="3"/>
          <c:tx>
            <c:strRef>
              <c:f>Espectro!$O$25</c:f>
              <c:strCache>
                <c:ptCount val="1"/>
                <c:pt idx="0">
                  <c:v>0.2Tp = 0.12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Espectro!$L$15:$L$16</c:f>
              <c:numCache>
                <c:formatCode>General</c:formatCode>
                <c:ptCount val="2"/>
                <c:pt idx="0">
                  <c:v>0.12</c:v>
                </c:pt>
                <c:pt idx="1">
                  <c:v>0.12</c:v>
                </c:pt>
              </c:numCache>
            </c:numRef>
          </c:xVal>
          <c:yVal>
            <c:numRef>
              <c:f>Espectro!$S$15:$S$16</c:f>
              <c:numCache>
                <c:formatCode>General</c:formatCode>
                <c:ptCount val="2"/>
                <c:pt idx="0">
                  <c:v>0</c:v>
                </c:pt>
                <c:pt idx="1">
                  <c:v>0.125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D69-4123-BBAA-D5136C8FA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06832"/>
        <c:axId val="155109456"/>
      </c:scatterChart>
      <c:valAx>
        <c:axId val="155106832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Periodo, T(s)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pperplate Gothic Bold" panose="020E0705020206020404" pitchFamily="34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155109456"/>
        <c:crosses val="autoZero"/>
        <c:crossBetween val="midCat"/>
      </c:valAx>
      <c:valAx>
        <c:axId val="15510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Sav/g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pperplate Gothic Bold" panose="020E0705020206020404" pitchFamily="34" charset="0"/>
                <a:ea typeface="+mn-ea"/>
                <a:cs typeface="+mn-cs"/>
              </a:defRPr>
            </a:pPr>
            <a:endParaRPr lang="es-MX"/>
          </a:p>
        </c:txPr>
        <c:crossAx val="155106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516126869697029"/>
          <c:y val="7.0506911589596724E-2"/>
          <c:w val="0.65872673127619008"/>
          <c:h val="3.84605420031715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utura Bk BT" panose="020B0502020204020303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Sv/g [m/s/g]</c:v>
          </c:tx>
          <c:spPr>
            <a:ln w="317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Espectro!$B$15:$B$52</c:f>
              <c:numCache>
                <c:formatCode>General</c:formatCode>
                <c:ptCount val="3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0.25</c:v>
                </c:pt>
                <c:pt idx="12">
                  <c:v>0.3</c:v>
                </c:pt>
                <c:pt idx="13">
                  <c:v>0.35</c:v>
                </c:pt>
                <c:pt idx="14">
                  <c:v>0.39999999999999997</c:v>
                </c:pt>
                <c:pt idx="15">
                  <c:v>0.44999999999999996</c:v>
                </c:pt>
                <c:pt idx="16">
                  <c:v>0.49999999999999994</c:v>
                </c:pt>
                <c:pt idx="17">
                  <c:v>0.54999999999999993</c:v>
                </c:pt>
                <c:pt idx="18">
                  <c:v>0.6</c:v>
                </c:pt>
                <c:pt idx="19">
                  <c:v>0.65</c:v>
                </c:pt>
                <c:pt idx="20">
                  <c:v>0.70000000000000007</c:v>
                </c:pt>
                <c:pt idx="21">
                  <c:v>0.75000000000000011</c:v>
                </c:pt>
                <c:pt idx="22">
                  <c:v>0.80000000000000016</c:v>
                </c:pt>
                <c:pt idx="23">
                  <c:v>0.8500000000000002</c:v>
                </c:pt>
                <c:pt idx="24">
                  <c:v>0.90000000000000024</c:v>
                </c:pt>
                <c:pt idx="25">
                  <c:v>0.95000000000000029</c:v>
                </c:pt>
                <c:pt idx="26">
                  <c:v>1.0000000000000002</c:v>
                </c:pt>
                <c:pt idx="27">
                  <c:v>1.6</c:v>
                </c:pt>
                <c:pt idx="28">
                  <c:v>2</c:v>
                </c:pt>
                <c:pt idx="29">
                  <c:v>2.5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</c:numCache>
            </c:numRef>
          </c:xVal>
          <c:yVal>
            <c:numRef>
              <c:f>Espectro!$J$15:$J$52</c:f>
              <c:numCache>
                <c:formatCode>General</c:formatCode>
                <c:ptCount val="38"/>
                <c:pt idx="0">
                  <c:v>0</c:v>
                </c:pt>
                <c:pt idx="1">
                  <c:v>5.9683103659460748E-4</c:v>
                </c:pt>
                <c:pt idx="2">
                  <c:v>1.193662073189215E-3</c:v>
                </c:pt>
                <c:pt idx="3">
                  <c:v>1.7904931097838224E-3</c:v>
                </c:pt>
                <c:pt idx="4">
                  <c:v>2.3873241463784299E-3</c:v>
                </c:pt>
                <c:pt idx="5">
                  <c:v>2.9841551829730378E-3</c:v>
                </c:pt>
                <c:pt idx="6">
                  <c:v>3.5809862195676453E-3</c:v>
                </c:pt>
                <c:pt idx="7">
                  <c:v>4.1778172561622532E-3</c:v>
                </c:pt>
                <c:pt idx="8">
                  <c:v>4.7746482927568598E-3</c:v>
                </c:pt>
                <c:pt idx="9">
                  <c:v>5.3714793293514673E-3</c:v>
                </c:pt>
                <c:pt idx="10">
                  <c:v>5.9683103659460748E-3</c:v>
                </c:pt>
                <c:pt idx="11">
                  <c:v>7.4603879574325939E-3</c:v>
                </c:pt>
                <c:pt idx="12">
                  <c:v>8.952465548919113E-3</c:v>
                </c:pt>
                <c:pt idx="13">
                  <c:v>1.0444543140405632E-2</c:v>
                </c:pt>
                <c:pt idx="14">
                  <c:v>1.193662073189215E-2</c:v>
                </c:pt>
                <c:pt idx="15">
                  <c:v>1.3428698323378667E-2</c:v>
                </c:pt>
                <c:pt idx="16">
                  <c:v>1.4920775914865186E-2</c:v>
                </c:pt>
                <c:pt idx="17">
                  <c:v>1.6412853506351705E-2</c:v>
                </c:pt>
                <c:pt idx="18">
                  <c:v>1.7904931097838226E-2</c:v>
                </c:pt>
                <c:pt idx="19">
                  <c:v>1.7904931097838226E-2</c:v>
                </c:pt>
                <c:pt idx="20">
                  <c:v>1.7904931097838219E-2</c:v>
                </c:pt>
                <c:pt idx="21">
                  <c:v>1.7904931097838219E-2</c:v>
                </c:pt>
                <c:pt idx="22">
                  <c:v>1.7904931097838226E-2</c:v>
                </c:pt>
                <c:pt idx="23">
                  <c:v>1.7904931097838223E-2</c:v>
                </c:pt>
                <c:pt idx="24">
                  <c:v>1.7904931097838223E-2</c:v>
                </c:pt>
                <c:pt idx="25">
                  <c:v>1.7904931097838223E-2</c:v>
                </c:pt>
                <c:pt idx="26">
                  <c:v>1.7904931097838223E-2</c:v>
                </c:pt>
                <c:pt idx="27">
                  <c:v>1.7904931097838223E-2</c:v>
                </c:pt>
                <c:pt idx="28">
                  <c:v>1.7904931097838223E-2</c:v>
                </c:pt>
                <c:pt idx="29">
                  <c:v>1.4323944878270579E-2</c:v>
                </c:pt>
                <c:pt idx="30">
                  <c:v>1.193662073189215E-2</c:v>
                </c:pt>
                <c:pt idx="31">
                  <c:v>8.9524655489191113E-3</c:v>
                </c:pt>
                <c:pt idx="32">
                  <c:v>7.1619724391352897E-3</c:v>
                </c:pt>
                <c:pt idx="33">
                  <c:v>5.9683103659460748E-3</c:v>
                </c:pt>
                <c:pt idx="34">
                  <c:v>5.1156945993823498E-3</c:v>
                </c:pt>
                <c:pt idx="35">
                  <c:v>4.4762327744595556E-3</c:v>
                </c:pt>
                <c:pt idx="36">
                  <c:v>3.9788735772973835E-3</c:v>
                </c:pt>
                <c:pt idx="37">
                  <c:v>3.5809862195676449E-3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D5-4E78-B9F7-206E55F00F20}"/>
            </c:ext>
          </c:extLst>
        </c:ser>
        <c:ser>
          <c:idx val="1"/>
          <c:order val="1"/>
          <c:tx>
            <c:strRef>
              <c:f>Espectro!$J$6</c:f>
              <c:strCache>
                <c:ptCount val="1"/>
                <c:pt idx="0">
                  <c:v>Tp =  0.60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Espectro!$L$17:$L$18</c:f>
              <c:numCache>
                <c:formatCode>0.00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Espectro!$O$17:$O$18</c:f>
              <c:numCache>
                <c:formatCode>General</c:formatCode>
                <c:ptCount val="2"/>
                <c:pt idx="0">
                  <c:v>0</c:v>
                </c:pt>
                <c:pt idx="1">
                  <c:v>1.7904931097838226E-2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8F-4E0A-92A3-44EB0D246C38}"/>
            </c:ext>
          </c:extLst>
        </c:ser>
        <c:ser>
          <c:idx val="2"/>
          <c:order val="2"/>
          <c:tx>
            <c:strRef>
              <c:f>Espectro!$J$7</c:f>
              <c:strCache>
                <c:ptCount val="1"/>
                <c:pt idx="0">
                  <c:v>TL = 2.00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Espectro!$L$19:$L$20</c:f>
              <c:numCache>
                <c:formatCode>0.00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Espectro!$O$19:$O$20</c:f>
              <c:numCache>
                <c:formatCode>General</c:formatCode>
                <c:ptCount val="2"/>
                <c:pt idx="0">
                  <c:v>0</c:v>
                </c:pt>
                <c:pt idx="1">
                  <c:v>1.7904931097838223E-2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8F-4E0A-92A3-44EB0D246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19736"/>
        <c:axId val="555220064"/>
      </c:scatterChart>
      <c:valAx>
        <c:axId val="555219736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Periodo, T(s)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urier New" panose="02070309020205020404" pitchFamily="49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555220064"/>
        <c:crosses val="autoZero"/>
        <c:crossBetween val="midCat"/>
      </c:valAx>
      <c:valAx>
        <c:axId val="55522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Sv/g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urier New" panose="02070309020205020404" pitchFamily="49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555219736"/>
        <c:crosses val="autoZero"/>
        <c:crossBetween val="midCat"/>
        <c:majorUnit val="2.5000000000000005E-3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283097562073988"/>
          <c:y val="4.6427624007134689E-2"/>
          <c:w val="0.47903693088982624"/>
          <c:h val="4.08586932904692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utura Bk BT" panose="020B0502020204020303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Sd/g [m/g]</c:v>
          </c:tx>
          <c:spPr>
            <a:ln w="317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Espectro!$B$15:$B$52</c:f>
              <c:numCache>
                <c:formatCode>General</c:formatCode>
                <c:ptCount val="3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0.25</c:v>
                </c:pt>
                <c:pt idx="12">
                  <c:v>0.3</c:v>
                </c:pt>
                <c:pt idx="13">
                  <c:v>0.35</c:v>
                </c:pt>
                <c:pt idx="14">
                  <c:v>0.39999999999999997</c:v>
                </c:pt>
                <c:pt idx="15">
                  <c:v>0.44999999999999996</c:v>
                </c:pt>
                <c:pt idx="16">
                  <c:v>0.49999999999999994</c:v>
                </c:pt>
                <c:pt idx="17">
                  <c:v>0.54999999999999993</c:v>
                </c:pt>
                <c:pt idx="18">
                  <c:v>0.6</c:v>
                </c:pt>
                <c:pt idx="19">
                  <c:v>0.65</c:v>
                </c:pt>
                <c:pt idx="20">
                  <c:v>0.70000000000000007</c:v>
                </c:pt>
                <c:pt idx="21">
                  <c:v>0.75000000000000011</c:v>
                </c:pt>
                <c:pt idx="22">
                  <c:v>0.80000000000000016</c:v>
                </c:pt>
                <c:pt idx="23">
                  <c:v>0.8500000000000002</c:v>
                </c:pt>
                <c:pt idx="24">
                  <c:v>0.90000000000000024</c:v>
                </c:pt>
                <c:pt idx="25">
                  <c:v>0.95000000000000029</c:v>
                </c:pt>
                <c:pt idx="26">
                  <c:v>1.0000000000000002</c:v>
                </c:pt>
                <c:pt idx="27">
                  <c:v>1.6</c:v>
                </c:pt>
                <c:pt idx="28">
                  <c:v>2</c:v>
                </c:pt>
                <c:pt idx="29">
                  <c:v>2.5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</c:numCache>
            </c:numRef>
          </c:xVal>
          <c:yVal>
            <c:numRef>
              <c:f>Espectro!$K$15:$K$52</c:f>
              <c:numCache>
                <c:formatCode>General</c:formatCode>
                <c:ptCount val="38"/>
                <c:pt idx="0">
                  <c:v>0</c:v>
                </c:pt>
                <c:pt idx="1">
                  <c:v>1.8997721932938332E-6</c:v>
                </c:pt>
                <c:pt idx="2">
                  <c:v>7.5990887731753329E-6</c:v>
                </c:pt>
                <c:pt idx="3">
                  <c:v>1.7097949739644496E-5</c:v>
                </c:pt>
                <c:pt idx="4">
                  <c:v>3.0396355092701332E-5</c:v>
                </c:pt>
                <c:pt idx="5">
                  <c:v>4.7494304832345831E-5</c:v>
                </c:pt>
                <c:pt idx="6">
                  <c:v>6.8391798958578011E-5</c:v>
                </c:pt>
                <c:pt idx="7">
                  <c:v>9.3088837471397867E-5</c:v>
                </c:pt>
                <c:pt idx="8">
                  <c:v>1.2158542037080533E-4</c:v>
                </c:pt>
                <c:pt idx="9">
                  <c:v>1.5388154765680047E-4</c:v>
                </c:pt>
                <c:pt idx="10">
                  <c:v>1.899772193293833E-4</c:v>
                </c:pt>
                <c:pt idx="11">
                  <c:v>2.9683940520216145E-4</c:v>
                </c:pt>
                <c:pt idx="12">
                  <c:v>4.2744874349111246E-4</c:v>
                </c:pt>
                <c:pt idx="13">
                  <c:v>5.8180523419623653E-4</c:v>
                </c:pt>
                <c:pt idx="14">
                  <c:v>7.5990887731753319E-4</c:v>
                </c:pt>
                <c:pt idx="15">
                  <c:v>9.6175967285500291E-4</c:v>
                </c:pt>
                <c:pt idx="16">
                  <c:v>1.1873576208086456E-3</c:v>
                </c:pt>
                <c:pt idx="17">
                  <c:v>1.4367027211784611E-3</c:v>
                </c:pt>
                <c:pt idx="18">
                  <c:v>1.7097949739644498E-3</c:v>
                </c:pt>
                <c:pt idx="19">
                  <c:v>1.8522778884614876E-3</c:v>
                </c:pt>
                <c:pt idx="20">
                  <c:v>1.9947608029585243E-3</c:v>
                </c:pt>
                <c:pt idx="21">
                  <c:v>2.137243717455562E-3</c:v>
                </c:pt>
                <c:pt idx="22">
                  <c:v>2.2797266319526006E-3</c:v>
                </c:pt>
                <c:pt idx="23">
                  <c:v>2.4222095464496375E-3</c:v>
                </c:pt>
                <c:pt idx="24">
                  <c:v>2.5646924609466753E-3</c:v>
                </c:pt>
                <c:pt idx="25">
                  <c:v>2.7071753754437122E-3</c:v>
                </c:pt>
                <c:pt idx="26">
                  <c:v>2.8496582899407504E-3</c:v>
                </c:pt>
                <c:pt idx="27">
                  <c:v>4.5594532639051987E-3</c:v>
                </c:pt>
                <c:pt idx="28">
                  <c:v>5.6993165798814999E-3</c:v>
                </c:pt>
                <c:pt idx="29">
                  <c:v>5.6993165798814999E-3</c:v>
                </c:pt>
                <c:pt idx="30">
                  <c:v>5.6993165798814999E-3</c:v>
                </c:pt>
                <c:pt idx="31">
                  <c:v>5.6993165798814999E-3</c:v>
                </c:pt>
                <c:pt idx="32">
                  <c:v>5.6993165798814999E-3</c:v>
                </c:pt>
                <c:pt idx="33">
                  <c:v>5.6993165798814999E-3</c:v>
                </c:pt>
                <c:pt idx="34">
                  <c:v>5.6993165798814999E-3</c:v>
                </c:pt>
                <c:pt idx="35">
                  <c:v>5.6993165798814999E-3</c:v>
                </c:pt>
                <c:pt idx="36">
                  <c:v>5.6993165798814999E-3</c:v>
                </c:pt>
                <c:pt idx="37">
                  <c:v>5.6993165798814999E-3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D2-4B2C-B85F-36B40A36414D}"/>
            </c:ext>
          </c:extLst>
        </c:ser>
        <c:ser>
          <c:idx val="1"/>
          <c:order val="1"/>
          <c:tx>
            <c:strRef>
              <c:f>Espectro!$J$6</c:f>
              <c:strCache>
                <c:ptCount val="1"/>
                <c:pt idx="0">
                  <c:v>Tp =  0.60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Espectro!$L$17:$L$18</c:f>
              <c:numCache>
                <c:formatCode>0.00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Espectro!$P$17:$P$18</c:f>
              <c:numCache>
                <c:formatCode>General</c:formatCode>
                <c:ptCount val="2"/>
                <c:pt idx="0">
                  <c:v>0</c:v>
                </c:pt>
                <c:pt idx="1">
                  <c:v>1.7097949739644498E-3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41-49BB-BC6E-08C0D9B605CE}"/>
            </c:ext>
          </c:extLst>
        </c:ser>
        <c:ser>
          <c:idx val="2"/>
          <c:order val="2"/>
          <c:tx>
            <c:strRef>
              <c:f>Espectro!$J$7</c:f>
              <c:strCache>
                <c:ptCount val="1"/>
                <c:pt idx="0">
                  <c:v>TL = 2.00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Espectro!$L$19:$L$20</c:f>
              <c:numCache>
                <c:formatCode>0.00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Espectro!$P$19:$P$20</c:f>
              <c:numCache>
                <c:formatCode>General</c:formatCode>
                <c:ptCount val="2"/>
                <c:pt idx="0">
                  <c:v>0</c:v>
                </c:pt>
                <c:pt idx="1">
                  <c:v>5.6993165798814999E-3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41-49BB-BC6E-08C0D9B60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134656"/>
        <c:axId val="545132360"/>
      </c:scatterChart>
      <c:valAx>
        <c:axId val="545134656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Período, T(s)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urier New" panose="02070309020205020404" pitchFamily="49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545132360"/>
        <c:crosses val="autoZero"/>
        <c:crossBetween val="midCat"/>
      </c:valAx>
      <c:valAx>
        <c:axId val="54513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ourier New" panose="02070309020205020404" pitchFamily="49" charset="0"/>
                    <a:ea typeface="+mn-ea"/>
                    <a:cs typeface="Courier New" panose="02070309020205020404" pitchFamily="49" charset="0"/>
                  </a:defRPr>
                </a:pPr>
                <a:r>
                  <a:rPr lang="en-US" sz="1050" b="1">
                    <a:latin typeface="Courier New" panose="02070309020205020404" pitchFamily="49" charset="0"/>
                    <a:cs typeface="Courier New" panose="02070309020205020404" pitchFamily="49" charset="0"/>
                  </a:rPr>
                  <a:t>Sd/g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ourier New" panose="02070309020205020404" pitchFamily="49" charset="0"/>
                  <a:ea typeface="+mn-ea"/>
                  <a:cs typeface="Courier New" panose="02070309020205020404" pitchFamily="49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ourier New" panose="02070309020205020404" pitchFamily="49" charset="0"/>
                <a:ea typeface="+mn-ea"/>
                <a:cs typeface="Courier New" panose="02070309020205020404" pitchFamily="49" charset="0"/>
              </a:defRPr>
            </a:pPr>
            <a:endParaRPr lang="es-MX"/>
          </a:p>
        </c:txPr>
        <c:crossAx val="545134656"/>
        <c:crosses val="autoZero"/>
        <c:crossBetween val="midCat"/>
        <c:majorUnit val="1.0000000000000002E-3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2826079676867703"/>
          <c:y val="3.0278885222044364E-2"/>
          <c:w val="0.4393710097768766"/>
          <c:h val="3.84605420031715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utura Bk BT" panose="020B0502020204020303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0.72945</cdr:x>
      <cdr:y>0.6515</cdr:y>
    </cdr:from>
    <cdr:to>
      <cdr:x>0.87354</cdr:x>
      <cdr:y>0.76237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A42D97F1-7589-41C4-98B7-F75A333A1E62}"/>
            </a:ext>
          </a:extLst>
        </cdr:cNvPr>
        <cdr:cNvPicPr/>
      </cdr:nvPicPr>
      <cdr:blipFill>
        <a:blip xmlns:a="http://schemas.openxmlformats.org/drawingml/2006/main"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bg1">
              <a:lumMod val="65000"/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317247" y="4098925"/>
          <a:ext cx="1247775" cy="69750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outerShdw blurRad="190500" algn="tl" rotWithShape="0">
            <a:srgbClr val="000000">
              <a:alpha val="70000"/>
            </a:srgbClr>
          </a:outerShdw>
        </a:effectLst>
      </cdr:spPr>
    </cdr:pic>
  </cdr:relSizeAnchor>
  <cdr:relSizeAnchor xmlns:cdr="http://schemas.openxmlformats.org/drawingml/2006/chartDrawing">
    <cdr:from>
      <cdr:x>0.82934</cdr:x>
      <cdr:y>0.73762</cdr:y>
    </cdr:from>
    <cdr:to>
      <cdr:x>0.86229</cdr:x>
      <cdr:y>0.76705</cdr:y>
    </cdr:to>
    <cdr:sp macro="" textlink="">
      <cdr:nvSpPr>
        <cdr:cNvPr id="3" name="Cuadro de texto 96">
          <a:extLst xmlns:a="http://schemas.openxmlformats.org/drawingml/2006/main">
            <a:ext uri="{FF2B5EF4-FFF2-40B4-BE49-F238E27FC236}">
              <a16:creationId xmlns:a16="http://schemas.microsoft.com/office/drawing/2014/main" id="{C915B3BA-862F-4FC5-A9C8-B1E37B4B28C9}"/>
            </a:ext>
          </a:extLst>
        </cdr:cNvPr>
        <cdr:cNvSpPr txBox="1"/>
      </cdr:nvSpPr>
      <cdr:spPr>
        <a:xfrm xmlns:a="http://schemas.openxmlformats.org/drawingml/2006/main">
          <a:off x="7182310" y="4640729"/>
          <a:ext cx="285323" cy="185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  <a:effectLst xmlns:a="http://schemas.openxmlformats.org/drawingml/2006/main"/>
      </cdr:spPr>
      <cdr:style>
        <a:lnRef xmlns:a="http://schemas.openxmlformats.org/drawingml/2006/main" idx="0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ct val="107000"/>
            </a:lnSpc>
            <a:spcAft>
              <a:spcPts val="800"/>
            </a:spcAft>
          </a:pPr>
          <a:r>
            <a:rPr lang="es-PE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™</a:t>
          </a:r>
          <a:endParaRPr lang="es-PE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0.67157</cdr:x>
      <cdr:y>0.78696</cdr:y>
    </cdr:from>
    <cdr:to>
      <cdr:x>0.94402</cdr:x>
      <cdr:y>0.84387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A76E9E27-58CD-41C2-AD1F-6E39526FD3F7}"/>
            </a:ext>
          </a:extLst>
        </cdr:cNvPr>
        <cdr:cNvSpPr txBox="1"/>
      </cdr:nvSpPr>
      <cdr:spPr>
        <a:xfrm xmlns:a="http://schemas.openxmlformats.org/drawingml/2006/main">
          <a:off x="5815932" y="4951161"/>
          <a:ext cx="2359515" cy="3580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©</a:t>
          </a:r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Alex Henrry Palomino</a:t>
          </a:r>
          <a:r>
            <a:rPr lang="es-MX" sz="1100" b="1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 Encinas</a:t>
          </a:r>
          <a:endParaRPr lang="es-MX" sz="1100" b="1">
            <a:solidFill>
              <a:schemeClr val="tx1">
                <a:lumMod val="65000"/>
                <a:lumOff val="35000"/>
              </a:schemeClr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74CA195-83B7-4184-AD25-3E9E3E6C08B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0.45015</cdr:x>
      <cdr:y>0.68138</cdr:y>
    </cdr:from>
    <cdr:to>
      <cdr:x>0.59423</cdr:x>
      <cdr:y>0.79225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A42D97F1-7589-41C4-98B7-F75A333A1E62}"/>
            </a:ext>
          </a:extLst>
        </cdr:cNvPr>
        <cdr:cNvPicPr/>
      </cdr:nvPicPr>
      <cdr:blipFill>
        <a:blip xmlns:a="http://schemas.openxmlformats.org/drawingml/2006/main"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bg1">
              <a:lumMod val="65000"/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898399" y="4286918"/>
          <a:ext cx="1247775" cy="69750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outerShdw blurRad="190500" algn="tl" rotWithShape="0">
            <a:srgbClr val="000000">
              <a:alpha val="70000"/>
            </a:srgbClr>
          </a:outerShdw>
        </a:effectLst>
      </cdr:spPr>
    </cdr:pic>
  </cdr:relSizeAnchor>
  <cdr:relSizeAnchor xmlns:cdr="http://schemas.openxmlformats.org/drawingml/2006/chartDrawing">
    <cdr:from>
      <cdr:x>0.55004</cdr:x>
      <cdr:y>0.7675</cdr:y>
    </cdr:from>
    <cdr:to>
      <cdr:x>0.58299</cdr:x>
      <cdr:y>0.79693</cdr:y>
    </cdr:to>
    <cdr:sp macro="" textlink="">
      <cdr:nvSpPr>
        <cdr:cNvPr id="3" name="Cuadro de texto 96">
          <a:extLst xmlns:a="http://schemas.openxmlformats.org/drawingml/2006/main">
            <a:ext uri="{FF2B5EF4-FFF2-40B4-BE49-F238E27FC236}">
              <a16:creationId xmlns:a16="http://schemas.microsoft.com/office/drawing/2014/main" id="{C915B3BA-862F-4FC5-A9C8-B1E37B4B28C9}"/>
            </a:ext>
          </a:extLst>
        </cdr:cNvPr>
        <cdr:cNvSpPr txBox="1"/>
      </cdr:nvSpPr>
      <cdr:spPr>
        <a:xfrm xmlns:a="http://schemas.openxmlformats.org/drawingml/2006/main">
          <a:off x="4763462" y="4828722"/>
          <a:ext cx="285323" cy="185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  <a:effectLst xmlns:a="http://schemas.openxmlformats.org/drawingml/2006/main"/>
      </cdr:spPr>
      <cdr:style>
        <a:lnRef xmlns:a="http://schemas.openxmlformats.org/drawingml/2006/main" idx="0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ct val="107000"/>
            </a:lnSpc>
            <a:spcAft>
              <a:spcPts val="800"/>
            </a:spcAft>
          </a:pPr>
          <a:r>
            <a:rPr lang="es-PE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™</a:t>
          </a:r>
          <a:endParaRPr lang="es-PE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0.39805</cdr:x>
      <cdr:y>0.79891</cdr:y>
    </cdr:from>
    <cdr:to>
      <cdr:x>0.67051</cdr:x>
      <cdr:y>0.85582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A76E9E27-58CD-41C2-AD1F-6E39526FD3F7}"/>
            </a:ext>
          </a:extLst>
        </cdr:cNvPr>
        <cdr:cNvSpPr txBox="1"/>
      </cdr:nvSpPr>
      <cdr:spPr>
        <a:xfrm xmlns:a="http://schemas.openxmlformats.org/drawingml/2006/main">
          <a:off x="3447214" y="5026359"/>
          <a:ext cx="2359515" cy="3580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©</a:t>
          </a:r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Alex Henrry Palomino</a:t>
          </a:r>
          <a:r>
            <a:rPr lang="es-MX" sz="1100" b="1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 Encinas</a:t>
          </a:r>
          <a:endParaRPr lang="es-MX" sz="1100" b="1">
            <a:solidFill>
              <a:schemeClr val="tx1">
                <a:lumMod val="65000"/>
                <a:lumOff val="35000"/>
              </a:schemeClr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3DBAF6C-059D-468A-89EF-166461DAE2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0.63394</cdr:x>
      <cdr:y>0.62162</cdr:y>
    </cdr:from>
    <cdr:to>
      <cdr:x>0.77802</cdr:x>
      <cdr:y>0.73248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A42D97F1-7589-41C4-98B7-F75A333A1E62}"/>
            </a:ext>
          </a:extLst>
        </cdr:cNvPr>
        <cdr:cNvPicPr/>
      </cdr:nvPicPr>
      <cdr:blipFill>
        <a:blip xmlns:a="http://schemas.openxmlformats.org/drawingml/2006/main"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bg1">
              <a:lumMod val="65000"/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490076" y="3910931"/>
          <a:ext cx="1247775" cy="69750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outerShdw blurRad="190500" algn="tl" rotWithShape="0">
            <a:srgbClr val="000000">
              <a:alpha val="70000"/>
            </a:srgbClr>
          </a:outerShdw>
        </a:effectLst>
      </cdr:spPr>
    </cdr:pic>
  </cdr:relSizeAnchor>
  <cdr:relSizeAnchor xmlns:cdr="http://schemas.openxmlformats.org/drawingml/2006/chartDrawing">
    <cdr:from>
      <cdr:x>0.73383</cdr:x>
      <cdr:y>0.70774</cdr:y>
    </cdr:from>
    <cdr:to>
      <cdr:x>0.76678</cdr:x>
      <cdr:y>0.73717</cdr:y>
    </cdr:to>
    <cdr:sp macro="" textlink="">
      <cdr:nvSpPr>
        <cdr:cNvPr id="3" name="Cuadro de texto 96">
          <a:extLst xmlns:a="http://schemas.openxmlformats.org/drawingml/2006/main">
            <a:ext uri="{FF2B5EF4-FFF2-40B4-BE49-F238E27FC236}">
              <a16:creationId xmlns:a16="http://schemas.microsoft.com/office/drawing/2014/main" id="{C915B3BA-862F-4FC5-A9C8-B1E37B4B28C9}"/>
            </a:ext>
          </a:extLst>
        </cdr:cNvPr>
        <cdr:cNvSpPr txBox="1"/>
      </cdr:nvSpPr>
      <cdr:spPr>
        <a:xfrm xmlns:a="http://schemas.openxmlformats.org/drawingml/2006/main">
          <a:off x="6355139" y="4452735"/>
          <a:ext cx="285323" cy="185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  <a:effectLst xmlns:a="http://schemas.openxmlformats.org/drawingml/2006/main"/>
      </cdr:spPr>
      <cdr:style>
        <a:lnRef xmlns:a="http://schemas.openxmlformats.org/drawingml/2006/main" idx="0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ct val="107000"/>
            </a:lnSpc>
            <a:spcAft>
              <a:spcPts val="800"/>
            </a:spcAft>
          </a:pPr>
          <a:r>
            <a:rPr lang="es-PE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™</a:t>
          </a:r>
          <a:endParaRPr lang="es-PE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0.57461</cdr:x>
      <cdr:y>0.73716</cdr:y>
    </cdr:from>
    <cdr:to>
      <cdr:x>0.84706</cdr:x>
      <cdr:y>0.79407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A76E9E27-58CD-41C2-AD1F-6E39526FD3F7}"/>
            </a:ext>
          </a:extLst>
        </cdr:cNvPr>
        <cdr:cNvSpPr txBox="1"/>
      </cdr:nvSpPr>
      <cdr:spPr>
        <a:xfrm xmlns:a="http://schemas.openxmlformats.org/drawingml/2006/main">
          <a:off x="4976228" y="4637839"/>
          <a:ext cx="2359515" cy="3580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©</a:t>
          </a:r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Alex Henrry Palomino</a:t>
          </a:r>
          <a:r>
            <a:rPr lang="es-MX" sz="1100" b="1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 Encinas</a:t>
          </a:r>
          <a:endParaRPr lang="es-MX" sz="1100" b="1">
            <a:solidFill>
              <a:schemeClr val="tx1">
                <a:lumMod val="65000"/>
                <a:lumOff val="35000"/>
              </a:schemeClr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F58CC42-445D-4270-9101-B7BD6510F5C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0.25478</cdr:x>
      <cdr:y>0.67341</cdr:y>
    </cdr:from>
    <cdr:to>
      <cdr:x>0.39886</cdr:x>
      <cdr:y>0.78428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A42D97F1-7589-41C4-98B7-F75A333A1E62}"/>
            </a:ext>
          </a:extLst>
        </cdr:cNvPr>
        <cdr:cNvPicPr/>
      </cdr:nvPicPr>
      <cdr:blipFill>
        <a:blip xmlns:a="http://schemas.openxmlformats.org/drawingml/2006/main"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bg1">
              <a:lumMod val="65000"/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206458" y="4236787"/>
          <a:ext cx="1247775" cy="69750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  <a:effectLst xmlns:a="http://schemas.openxmlformats.org/drawingml/2006/main">
          <a:outerShdw blurRad="190500" algn="tl" rotWithShape="0">
            <a:srgbClr val="000000">
              <a:alpha val="70000"/>
            </a:srgbClr>
          </a:outerShdw>
        </a:effectLst>
      </cdr:spPr>
    </cdr:pic>
  </cdr:relSizeAnchor>
  <cdr:relSizeAnchor xmlns:cdr="http://schemas.openxmlformats.org/drawingml/2006/chartDrawing">
    <cdr:from>
      <cdr:x>0.35467</cdr:x>
      <cdr:y>0.75953</cdr:y>
    </cdr:from>
    <cdr:to>
      <cdr:x>0.38762</cdr:x>
      <cdr:y>0.78897</cdr:y>
    </cdr:to>
    <cdr:sp macro="" textlink="">
      <cdr:nvSpPr>
        <cdr:cNvPr id="3" name="Cuadro de texto 96">
          <a:extLst xmlns:a="http://schemas.openxmlformats.org/drawingml/2006/main">
            <a:ext uri="{FF2B5EF4-FFF2-40B4-BE49-F238E27FC236}">
              <a16:creationId xmlns:a16="http://schemas.microsoft.com/office/drawing/2014/main" id="{C915B3BA-862F-4FC5-A9C8-B1E37B4B28C9}"/>
            </a:ext>
          </a:extLst>
        </cdr:cNvPr>
        <cdr:cNvSpPr txBox="1"/>
      </cdr:nvSpPr>
      <cdr:spPr>
        <a:xfrm xmlns:a="http://schemas.openxmlformats.org/drawingml/2006/main">
          <a:off x="3071521" y="4778591"/>
          <a:ext cx="285323" cy="185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  <a:effectLst xmlns:a="http://schemas.openxmlformats.org/drawingml/2006/main"/>
      </cdr:spPr>
      <cdr:style>
        <a:lnRef xmlns:a="http://schemas.openxmlformats.org/drawingml/2006/main" idx="0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ct val="107000"/>
            </a:lnSpc>
            <a:spcAft>
              <a:spcPts val="800"/>
            </a:spcAft>
          </a:pPr>
          <a:r>
            <a:rPr lang="es-PE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™</a:t>
          </a:r>
          <a:endParaRPr lang="es-PE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0.19689</cdr:x>
      <cdr:y>0.78895</cdr:y>
    </cdr:from>
    <cdr:to>
      <cdr:x>0.46935</cdr:x>
      <cdr:y>0.84586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A76E9E27-58CD-41C2-AD1F-6E39526FD3F7}"/>
            </a:ext>
          </a:extLst>
        </cdr:cNvPr>
        <cdr:cNvSpPr txBox="1"/>
      </cdr:nvSpPr>
      <cdr:spPr>
        <a:xfrm xmlns:a="http://schemas.openxmlformats.org/drawingml/2006/main">
          <a:off x="1705143" y="4963695"/>
          <a:ext cx="2359515" cy="3580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©</a:t>
          </a:r>
          <a:r>
            <a:rPr lang="es-MX" sz="11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Alex Henrry Palomino</a:t>
          </a:r>
          <a:r>
            <a:rPr lang="es-MX" sz="1100" b="1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 Encinas</a:t>
          </a:r>
          <a:endParaRPr lang="es-MX" sz="1100" b="1">
            <a:solidFill>
              <a:schemeClr val="tx1">
                <a:lumMod val="65000"/>
                <a:lumOff val="35000"/>
              </a:schemeClr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9</xdr:row>
      <xdr:rowOff>102577</xdr:rowOff>
    </xdr:from>
    <xdr:to>
      <xdr:col>6</xdr:col>
      <xdr:colOff>447675</xdr:colOff>
      <xdr:row>9</xdr:row>
      <xdr:rowOff>102577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2170235" y="1365739"/>
          <a:ext cx="6572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550984</xdr:colOff>
      <xdr:row>10</xdr:row>
      <xdr:rowOff>97448</xdr:rowOff>
    </xdr:from>
    <xdr:to>
      <xdr:col>6</xdr:col>
      <xdr:colOff>446209</xdr:colOff>
      <xdr:row>10</xdr:row>
      <xdr:rowOff>97448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168769" y="1521802"/>
          <a:ext cx="6572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</xdr:col>
      <xdr:colOff>200025</xdr:colOff>
      <xdr:row>5</xdr:row>
      <xdr:rowOff>104775</xdr:rowOff>
    </xdr:from>
    <xdr:ext cx="700833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1819275" y="485775"/>
              <a:ext cx="700833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b="0" i="1">
                        <a:latin typeface="Cambria Math" panose="02040503050406030204" pitchFamily="18" charset="0"/>
                      </a:rPr>
                      <m:t>𝑅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𝑜</m:t>
                        </m:r>
                      </m:sub>
                    </m:sSub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1819275" y="485775"/>
              <a:ext cx="700833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b="0" i="0">
                  <a:latin typeface="Cambria Math" panose="02040503050406030204" pitchFamily="18" charset="0"/>
                </a:rPr>
                <a:t>𝑅=𝑅_𝑜 𝐼_𝑝 𝐼_𝑎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2</xdr:col>
      <xdr:colOff>213473</xdr:colOff>
      <xdr:row>2</xdr:row>
      <xdr:rowOff>71716</xdr:rowOff>
    </xdr:from>
    <xdr:ext cx="699038" cy="3476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1838326" y="452716"/>
              <a:ext cx="699038" cy="3476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s-PE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num>
                      <m:den>
                        <m:r>
                          <m:rPr>
                            <m:sty m:val="p"/>
                          </m:rPr>
                          <a:rPr lang="es-PE" sz="1100" b="0" i="0">
                            <a:latin typeface="Cambria Math" panose="02040503050406030204" pitchFamily="18" charset="0"/>
                          </a:rPr>
                          <m:t>g</m:t>
                        </m:r>
                      </m:den>
                    </m:f>
                    <m:r>
                      <a:rPr lang="es-PE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𝑍𝑈𝐶𝑆</m:t>
                        </m:r>
                      </m:num>
                      <m:den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den>
                    </m:f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1838326" y="452716"/>
              <a:ext cx="699038" cy="3476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b="0" i="0">
                  <a:latin typeface="Cambria Math" panose="02040503050406030204" pitchFamily="18" charset="0"/>
                </a:rPr>
                <a:t>𝑆_𝑎/g=𝑍𝑈𝐶𝑆/𝑅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413495</xdr:colOff>
      <xdr:row>1</xdr:row>
      <xdr:rowOff>116540</xdr:rowOff>
    </xdr:from>
    <xdr:ext cx="2153731" cy="9430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2901201" y="340658"/>
              <a:ext cx="2153731" cy="9430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&lt;</m:t>
                    </m:r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r>
                      <a:rPr lang="es-PE" sz="1100" b="0" i="1">
                        <a:latin typeface="Cambria Math" panose="02040503050406030204" pitchFamily="18" charset="0"/>
                      </a:rPr>
                      <m:t>                    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=2.5    </m:t>
                    </m:r>
                  </m:oMath>
                  <m:oMath xmlns:m="http://schemas.openxmlformats.org/officeDocument/2006/math"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r>
                      <a:rPr lang="es-PE" sz="1100" b="0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&lt;</m:t>
                    </m:r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  <m:r>
                      <a:rPr lang="es-PE" sz="1100" b="0" i="1">
                        <a:latin typeface="Cambria Math" panose="02040503050406030204" pitchFamily="18" charset="0"/>
                      </a:rPr>
                      <m:t>          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=2.5∙</m:t>
                    </m:r>
                    <m:d>
                      <m:d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s-PE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sub>
                            </m:sSub>
                          </m:num>
                          <m:den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den>
                        </m:f>
                      </m:e>
                    </m:d>
                    <m:r>
                      <a:rPr lang="es-PE" sz="1100" b="0" i="0">
                        <a:latin typeface="Cambria Math" panose="02040503050406030204" pitchFamily="18" charset="0"/>
                      </a:rPr>
                      <m:t>  </m:t>
                    </m:r>
                  </m:oMath>
                  <m:oMath xmlns:m="http://schemas.openxmlformats.org/officeDocument/2006/math">
                    <m:r>
                      <a:rPr lang="es-PE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&gt;</m:t>
                    </m:r>
                    <m:sSub>
                      <m:sSub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  <m:r>
                      <a:rPr lang="es-PE" sz="1100" b="0" i="1">
                        <a:latin typeface="Cambria Math" panose="02040503050406030204" pitchFamily="18" charset="0"/>
                      </a:rPr>
                      <m:t>                    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PE" sz="1100" b="0" i="1">
                        <a:latin typeface="Cambria Math" panose="02040503050406030204" pitchFamily="18" charset="0"/>
                      </a:rPr>
                      <m:t>=2.5∙</m:t>
                    </m:r>
                    <m:d>
                      <m:dPr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s-PE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sub>
                            </m:sSub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∙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sub>
                            </m:sSub>
                          </m:num>
                          <m:den>
                            <m:sSup>
                              <m:sSup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s-P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p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</m:oMath>
                </m:oMathPara>
              </a14:m>
              <a:endParaRPr lang="es-PE" sz="1100" b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2901201" y="340658"/>
              <a:ext cx="2153731" cy="9430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b="0" i="0">
                  <a:latin typeface="Cambria Math" panose="02040503050406030204" pitchFamily="18" charset="0"/>
                </a:rPr>
                <a:t>𝑇&lt;𝑇_𝑝                     𝐶=2.5    </a:t>
              </a:r>
              <a:br>
                <a:rPr lang="es-PE" sz="1100" b="0" i="1">
                  <a:latin typeface="Cambria Math" panose="02040503050406030204" pitchFamily="18" charset="0"/>
                </a:rPr>
              </a:br>
              <a:r>
                <a:rPr lang="es-PE" sz="1100" b="0" i="0">
                  <a:latin typeface="Cambria Math" panose="02040503050406030204" pitchFamily="18" charset="0"/>
                </a:rPr>
                <a:t>𝑇_𝑝&lt;𝑇&lt;𝑇_𝐿           𝐶=2.5∙(𝑇_𝑝/𝑇)   </a:t>
              </a:r>
              <a:br>
                <a:rPr lang="es-PE" sz="1100" b="0" i="0">
                  <a:latin typeface="Cambria Math" panose="02040503050406030204" pitchFamily="18" charset="0"/>
                </a:rPr>
              </a:br>
              <a:r>
                <a:rPr lang="es-PE" sz="1100" b="0" i="0">
                  <a:latin typeface="Cambria Math" panose="02040503050406030204" pitchFamily="18" charset="0"/>
                </a:rPr>
                <a:t>𝑇&gt;𝑇_𝐿                     𝐶=2.5∙((𝑇_𝑝</a:t>
              </a:r>
              <a:r>
                <a:rPr lang="es-P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s-PE" sz="1100" b="0" i="0">
                  <a:latin typeface="Cambria Math" panose="02040503050406030204" pitchFamily="18" charset="0"/>
                </a:rPr>
                <a:t>𝑇_𝐿)/</a:t>
              </a:r>
              <a:r>
                <a:rPr lang="es-P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𝑇^</a:t>
              </a:r>
              <a:r>
                <a:rPr lang="es-PE" sz="1100" b="0" i="0">
                  <a:latin typeface="Cambria Math" panose="02040503050406030204" pitchFamily="18" charset="0"/>
                </a:rPr>
                <a:t>2 )</a:t>
              </a:r>
              <a:endParaRPr lang="es-PE" sz="1100" b="0"/>
            </a:p>
          </xdr:txBody>
        </xdr:sp>
      </mc:Fallback>
    </mc:AlternateContent>
    <xdr:clientData/>
  </xdr:oneCellAnchor>
  <xdr:twoCellAnchor editAs="oneCell">
    <xdr:from>
      <xdr:col>9</xdr:col>
      <xdr:colOff>57709</xdr:colOff>
      <xdr:row>13</xdr:row>
      <xdr:rowOff>44823</xdr:rowOff>
    </xdr:from>
    <xdr:to>
      <xdr:col>15</xdr:col>
      <xdr:colOff>432447</xdr:colOff>
      <xdr:row>48</xdr:row>
      <xdr:rowOff>55140</xdr:rowOff>
    </xdr:to>
    <xdr:pic>
      <xdr:nvPicPr>
        <xdr:cNvPr id="3" name="Imagen 2" descr="Recorte de pantal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444" y="2173941"/>
          <a:ext cx="3893385" cy="5501199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82363</xdr:colOff>
      <xdr:row>13</xdr:row>
      <xdr:rowOff>34739</xdr:rowOff>
    </xdr:from>
    <xdr:to>
      <xdr:col>11</xdr:col>
      <xdr:colOff>103958</xdr:colOff>
      <xdr:row>18</xdr:row>
      <xdr:rowOff>64202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bg1">
              <a:lumMod val="65000"/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2098" y="2163857"/>
          <a:ext cx="1455948" cy="813874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>
    <xdr:from>
      <xdr:col>10</xdr:col>
      <xdr:colOff>374805</xdr:colOff>
      <xdr:row>17</xdr:row>
      <xdr:rowOff>25214</xdr:rowOff>
    </xdr:from>
    <xdr:to>
      <xdr:col>10</xdr:col>
      <xdr:colOff>707730</xdr:colOff>
      <xdr:row>18</xdr:row>
      <xdr:rowOff>84424</xdr:rowOff>
    </xdr:to>
    <xdr:sp macro="" textlink="">
      <xdr:nvSpPr>
        <xdr:cNvPr id="10" name="Cuadro de texto 9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910511" y="2781861"/>
          <a:ext cx="332925" cy="216092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ct val="107000"/>
            </a:lnSpc>
            <a:spcAft>
              <a:spcPts val="800"/>
            </a:spcAft>
          </a:pPr>
          <a:r>
            <a:rPr lang="es-PE" sz="14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™</a:t>
          </a:r>
          <a:endParaRPr lang="es-PE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oneCellAnchor>
    <xdr:from>
      <xdr:col>7</xdr:col>
      <xdr:colOff>663388</xdr:colOff>
      <xdr:row>9</xdr:row>
      <xdr:rowOff>86284</xdr:rowOff>
    </xdr:from>
    <xdr:ext cx="2038828" cy="3834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D65FE72A-D6F1-4A5E-BD79-2F93CC918CA6}"/>
                </a:ext>
              </a:extLst>
            </xdr:cNvPr>
            <xdr:cNvSpPr txBox="1"/>
          </xdr:nvSpPr>
          <xdr:spPr>
            <a:xfrm>
              <a:off x="4731123" y="1576666"/>
              <a:ext cx="2038828" cy="3834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sub>
                    </m:sSub>
                    <m:r>
                      <a:rPr lang="es-MX" sz="1100" b="0" i="1">
                        <a:latin typeface="Cambria Math" panose="02040503050406030204" pitchFamily="18" charset="0"/>
                      </a:rPr>
                      <m:t>=1+7.5</m:t>
                    </m:r>
                    <m:d>
                      <m:d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s-MX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MX" sz="11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es-MX" sz="1100" b="0" i="1">
                        <a:latin typeface="Cambria Math" panose="02040503050406030204" pitchFamily="18" charset="0"/>
                      </a:rPr>
                      <m:t>,  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es-MX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&lt;0.2</m:t>
                    </m:r>
                    <m:sSub>
                      <m:sSubPr>
                        <m:ctrlPr>
                          <a:rPr lang="es-MX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s-MX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D65FE72A-D6F1-4A5E-BD79-2F93CC918CA6}"/>
                </a:ext>
              </a:extLst>
            </xdr:cNvPr>
            <xdr:cNvSpPr txBox="1"/>
          </xdr:nvSpPr>
          <xdr:spPr>
            <a:xfrm>
              <a:off x="4731123" y="1576666"/>
              <a:ext cx="2038828" cy="3834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b="0" i="0">
                  <a:latin typeface="Cambria Math" panose="02040503050406030204" pitchFamily="18" charset="0"/>
                </a:rPr>
                <a:t>𝐶_𝑣=1+7.5(𝑇/𝑇_𝑝 ),  𝑇</a:t>
              </a:r>
              <a:r>
                <a:rPr lang="es-MX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&lt;0.2𝑇_𝑝</a:t>
              </a:r>
              <a:endParaRPr lang="es-MX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2"/>
  <sheetViews>
    <sheetView tabSelected="1" zoomScale="85" zoomScaleNormal="85" workbookViewId="0">
      <selection sqref="A1:Q1"/>
    </sheetView>
  </sheetViews>
  <sheetFormatPr baseColWidth="10" defaultRowHeight="12.75" x14ac:dyDescent="0.2"/>
  <cols>
    <col min="1" max="1" width="17.28515625" style="1" bestFit="1" customWidth="1"/>
    <col min="2" max="2" width="7" style="1" bestFit="1" customWidth="1"/>
    <col min="3" max="3" width="12.85546875" style="1" customWidth="1"/>
    <col min="4" max="4" width="12.28515625" style="1" bestFit="1" customWidth="1"/>
    <col min="5" max="6" width="12.85546875" style="1" hidden="1" customWidth="1"/>
    <col min="7" max="8" width="11.42578125" style="1"/>
    <col min="9" max="9" width="12.85546875" style="1" hidden="1" customWidth="1"/>
    <col min="10" max="10" width="10.5703125" style="14" customWidth="1"/>
    <col min="11" max="11" width="11" style="14" customWidth="1"/>
    <col min="12" max="12" width="5" style="1" bestFit="1" customWidth="1"/>
    <col min="13" max="13" width="6" style="1" customWidth="1"/>
    <col min="14" max="14" width="8.7109375" style="1" bestFit="1" customWidth="1"/>
    <col min="15" max="16384" width="11.42578125" style="1"/>
  </cols>
  <sheetData>
    <row r="1" spans="1:22" ht="18" x14ac:dyDescent="0.25">
      <c r="A1" s="86" t="s">
        <v>109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53"/>
      <c r="S1" s="53"/>
    </row>
    <row r="2" spans="1:22" ht="12" customHeight="1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2"/>
      <c r="P2" s="2"/>
      <c r="Q2" s="2"/>
      <c r="R2" s="2"/>
      <c r="S2" s="2"/>
    </row>
    <row r="3" spans="1:22" ht="13.5" customHeight="1" x14ac:dyDescent="0.25">
      <c r="A3" s="3" t="s">
        <v>64</v>
      </c>
      <c r="B3" s="95" t="s">
        <v>70</v>
      </c>
      <c r="C3" s="96"/>
      <c r="D3" s="66"/>
      <c r="E3" s="50"/>
      <c r="F3" s="50"/>
      <c r="G3" s="50"/>
      <c r="H3" s="50"/>
      <c r="I3" s="50"/>
      <c r="J3" s="78" t="s">
        <v>23</v>
      </c>
      <c r="K3" s="79">
        <f>VLOOKUP(B7,Parametros!F7:G10,2,FALSE)</f>
        <v>0.25</v>
      </c>
      <c r="L3" s="50"/>
      <c r="M3" s="50"/>
      <c r="N3" s="50"/>
      <c r="O3" s="49"/>
      <c r="P3" s="49"/>
      <c r="Q3" s="49"/>
      <c r="R3" s="49"/>
      <c r="S3" s="49"/>
    </row>
    <row r="4" spans="1:22" ht="12.75" customHeight="1" x14ac:dyDescent="0.25">
      <c r="A4" s="3" t="s">
        <v>90</v>
      </c>
      <c r="B4" s="51" t="s">
        <v>70</v>
      </c>
      <c r="C4" s="52"/>
      <c r="D4" s="66"/>
      <c r="E4" s="50"/>
      <c r="F4" s="50"/>
      <c r="G4" s="50"/>
      <c r="H4" s="50"/>
      <c r="I4" s="50"/>
      <c r="J4" s="80" t="s">
        <v>25</v>
      </c>
      <c r="K4" s="81">
        <f>VLOOKUP(B6,Parametros!F26:H30,3,FALSE)</f>
        <v>1.5</v>
      </c>
      <c r="L4" s="50"/>
      <c r="M4" s="50"/>
      <c r="N4" s="50"/>
      <c r="O4" s="49"/>
      <c r="P4" s="49"/>
      <c r="Q4" s="49"/>
      <c r="R4" s="49"/>
      <c r="S4" s="49"/>
    </row>
    <row r="5" spans="1:22" ht="12.75" customHeight="1" x14ac:dyDescent="0.25">
      <c r="A5" s="3" t="s">
        <v>91</v>
      </c>
      <c r="B5" s="51" t="s">
        <v>107</v>
      </c>
      <c r="C5" s="52"/>
      <c r="D5" s="66"/>
      <c r="E5" s="50"/>
      <c r="F5" s="50"/>
      <c r="G5" s="50"/>
      <c r="H5" s="50"/>
      <c r="I5" s="50"/>
      <c r="J5" s="78" t="s">
        <v>27</v>
      </c>
      <c r="K5" s="79">
        <f>VLOOKUP(B7,Parametros!I7:N10,VLOOKUP(B8,Parametros!J16:L20,3,FALSE)+1,FALSE)</f>
        <v>1.2</v>
      </c>
      <c r="L5" s="50"/>
      <c r="M5" s="50"/>
      <c r="N5" s="50"/>
      <c r="O5" s="49"/>
      <c r="P5" s="49"/>
      <c r="Q5" s="49"/>
      <c r="R5" s="49"/>
      <c r="S5" s="49"/>
    </row>
    <row r="6" spans="1:22" x14ac:dyDescent="0.2">
      <c r="A6" s="3" t="s">
        <v>22</v>
      </c>
      <c r="B6" s="41" t="s">
        <v>34</v>
      </c>
      <c r="C6" s="42"/>
      <c r="D6" s="71"/>
      <c r="E6" s="43"/>
      <c r="F6" s="43"/>
      <c r="G6" s="44"/>
      <c r="H6" s="44"/>
      <c r="I6" s="44"/>
      <c r="J6" s="91">
        <f>HLOOKUP(B8,Parametros!Q6:U8,2,FALSE)</f>
        <v>0.6</v>
      </c>
      <c r="K6" s="92"/>
    </row>
    <row r="7" spans="1:22" x14ac:dyDescent="0.2">
      <c r="A7" s="4" t="s">
        <v>24</v>
      </c>
      <c r="B7" s="45" t="s">
        <v>43</v>
      </c>
      <c r="C7" s="46"/>
      <c r="D7" s="72"/>
      <c r="E7" s="47"/>
      <c r="F7" s="47"/>
      <c r="G7" s="48"/>
      <c r="H7" s="48"/>
      <c r="I7" s="48"/>
      <c r="J7" s="93">
        <f>HLOOKUP(B8,Parametros!Q6:U8,3,FALSE)</f>
        <v>2</v>
      </c>
      <c r="K7" s="94"/>
    </row>
    <row r="8" spans="1:22" x14ac:dyDescent="0.2">
      <c r="A8" s="3" t="s">
        <v>26</v>
      </c>
      <c r="B8" s="42" t="s">
        <v>4</v>
      </c>
      <c r="C8" s="42"/>
      <c r="D8" s="71"/>
      <c r="E8" s="43"/>
      <c r="F8" s="43"/>
      <c r="G8" s="44"/>
      <c r="H8" s="44"/>
      <c r="I8" s="44"/>
      <c r="J8" s="80" t="s">
        <v>108</v>
      </c>
      <c r="K8" s="82">
        <f>VLOOKUP(B9,Parametros!B8:C19,2,FALSE)</f>
        <v>6</v>
      </c>
      <c r="U8" s="20"/>
      <c r="V8" s="20"/>
    </row>
    <row r="9" spans="1:22" x14ac:dyDescent="0.2">
      <c r="A9" s="3" t="s">
        <v>30</v>
      </c>
      <c r="B9" s="97" t="s">
        <v>10</v>
      </c>
      <c r="C9" s="98"/>
      <c r="D9" s="98"/>
      <c r="E9" s="98"/>
      <c r="F9" s="98"/>
      <c r="G9" s="98"/>
      <c r="H9" s="98"/>
      <c r="I9" s="60"/>
      <c r="J9" s="83" t="s">
        <v>31</v>
      </c>
      <c r="K9" s="84">
        <f>PRODUCT(K8,H10,H11)</f>
        <v>6</v>
      </c>
      <c r="U9" s="19"/>
      <c r="V9" s="21"/>
    </row>
    <row r="10" spans="1:22" x14ac:dyDescent="0.2">
      <c r="A10" s="89" t="s">
        <v>50</v>
      </c>
      <c r="B10" s="5" t="str">
        <f>Parametros!F22</f>
        <v>Irregular en Planta</v>
      </c>
      <c r="C10" s="6"/>
      <c r="D10" s="6"/>
      <c r="E10" s="6"/>
      <c r="F10" s="6"/>
      <c r="G10" s="4" t="s">
        <v>40</v>
      </c>
      <c r="H10" s="39">
        <f>Parametros!G22</f>
        <v>1</v>
      </c>
      <c r="I10" s="4"/>
      <c r="K10" s="76"/>
      <c r="U10" s="19"/>
      <c r="V10" s="21"/>
    </row>
    <row r="11" spans="1:22" x14ac:dyDescent="0.2">
      <c r="A11" s="90"/>
      <c r="B11" s="8" t="str">
        <f>Parametros!F23</f>
        <v>Irregular en Altura</v>
      </c>
      <c r="G11" s="12" t="s">
        <v>41</v>
      </c>
      <c r="H11" s="40">
        <f>Parametros!G23</f>
        <v>1</v>
      </c>
      <c r="I11" s="12"/>
      <c r="K11" s="77"/>
      <c r="U11" s="19"/>
      <c r="V11" s="21"/>
    </row>
    <row r="12" spans="1:22" x14ac:dyDescent="0.2">
      <c r="U12" s="19"/>
      <c r="V12" s="21"/>
    </row>
    <row r="13" spans="1:22" ht="13.5" customHeight="1" x14ac:dyDescent="0.25">
      <c r="B13" s="53"/>
      <c r="C13" s="53"/>
      <c r="D13" s="53"/>
      <c r="E13" s="53"/>
      <c r="F13" s="53"/>
      <c r="G13" s="53"/>
      <c r="H13" s="53"/>
      <c r="I13" s="53"/>
      <c r="J13" s="75"/>
      <c r="K13" s="75"/>
      <c r="L13" s="53"/>
      <c r="M13" s="53"/>
      <c r="N13" s="53"/>
      <c r="O13" s="53"/>
      <c r="P13" s="75"/>
      <c r="Q13" s="53"/>
      <c r="R13" s="53"/>
      <c r="S13" s="68"/>
      <c r="U13" s="19"/>
      <c r="V13" s="21"/>
    </row>
    <row r="14" spans="1:22" x14ac:dyDescent="0.2">
      <c r="B14" s="7" t="s">
        <v>28</v>
      </c>
      <c r="C14" s="9" t="s">
        <v>16</v>
      </c>
      <c r="D14" s="73" t="s">
        <v>102</v>
      </c>
      <c r="E14" s="73" t="s">
        <v>32</v>
      </c>
      <c r="F14" s="73" t="s">
        <v>104</v>
      </c>
      <c r="G14" s="74" t="s">
        <v>29</v>
      </c>
      <c r="H14" s="10" t="s">
        <v>103</v>
      </c>
      <c r="I14" s="10" t="s">
        <v>51</v>
      </c>
      <c r="J14" s="62" t="s">
        <v>52</v>
      </c>
      <c r="K14" s="62" t="s">
        <v>53</v>
      </c>
      <c r="L14" s="62" t="s">
        <v>28</v>
      </c>
      <c r="M14" s="62" t="s">
        <v>54</v>
      </c>
      <c r="N14" s="62" t="s">
        <v>51</v>
      </c>
      <c r="O14" s="62" t="s">
        <v>52</v>
      </c>
      <c r="P14" s="62" t="s">
        <v>53</v>
      </c>
      <c r="Q14" s="24"/>
      <c r="R14" s="24"/>
      <c r="S14" s="65"/>
      <c r="U14" s="19"/>
      <c r="V14" s="21"/>
    </row>
    <row r="15" spans="1:22" x14ac:dyDescent="0.2">
      <c r="B15" s="15">
        <v>0</v>
      </c>
      <c r="C15" s="27">
        <f t="shared" ref="C15:C52" si="0">IF(B15&lt;J$6,2.5,IF(AND(J$6&lt;=B15,B15&lt;J$7)=TRUE,PRODUCT(2.5,J$6/B15),IF(B15&gt;=J$7,PRODUCT(2.5,J$6,J$7/B15^2))))</f>
        <v>2.5</v>
      </c>
      <c r="D15" s="11">
        <f t="shared" ref="D15:D52" si="1">IF(B15&lt;0.2*J$6,1+7.5*B15/J$6,IF(B15&lt;J$6,2.5,IF(AND(J$6&lt;=B15,B15&lt;J$7)=TRUE,PRODUCT(2.5,J$6/B15),IF(B15&gt;=J$7,PRODUCT(2.5,J$6,J$7/B15^2)))))</f>
        <v>1</v>
      </c>
      <c r="E15" s="28">
        <f t="shared" ref="E15:E52" si="2">C15/K$9</f>
        <v>0.41666666666666669</v>
      </c>
      <c r="F15" s="28">
        <f t="shared" ref="F15:F52" si="3">D15/K$9</f>
        <v>0.16666666666666666</v>
      </c>
      <c r="G15" s="29">
        <f t="shared" ref="G15:G52" si="4">PRODUCT(K$3:K$5,E15)</f>
        <v>0.1875</v>
      </c>
      <c r="H15" s="30">
        <f t="shared" ref="H15:H52" si="5">PRODUCT(2/3,K$3:K$5,F15)</f>
        <v>4.9999999999999996E-2</v>
      </c>
      <c r="I15" s="30">
        <v>0</v>
      </c>
      <c r="J15" s="63">
        <v>0</v>
      </c>
      <c r="K15" s="63">
        <v>0</v>
      </c>
      <c r="L15" s="69">
        <f>0.2*J6</f>
        <v>0.12</v>
      </c>
      <c r="M15" s="65">
        <v>0</v>
      </c>
      <c r="N15" s="65"/>
      <c r="O15" s="65"/>
      <c r="P15" s="65"/>
      <c r="Q15" s="65"/>
      <c r="R15" s="65"/>
      <c r="S15" s="65">
        <v>0</v>
      </c>
      <c r="U15" s="19"/>
      <c r="V15" s="21"/>
    </row>
    <row r="16" spans="1:22" x14ac:dyDescent="0.2">
      <c r="B16" s="17">
        <f>IF(B15+0.02&gt;=J$6,J$6,B15+0.02)</f>
        <v>0.02</v>
      </c>
      <c r="C16" s="27">
        <f t="shared" si="0"/>
        <v>2.5</v>
      </c>
      <c r="D16" s="11">
        <f t="shared" si="1"/>
        <v>1.25</v>
      </c>
      <c r="E16" s="28">
        <f t="shared" si="2"/>
        <v>0.41666666666666669</v>
      </c>
      <c r="F16" s="28">
        <f t="shared" si="3"/>
        <v>0.20833333333333334</v>
      </c>
      <c r="G16" s="29">
        <f t="shared" si="4"/>
        <v>0.1875</v>
      </c>
      <c r="H16" s="30">
        <f t="shared" si="5"/>
        <v>6.25E-2</v>
      </c>
      <c r="I16" s="30">
        <f>2*PI()/B16</f>
        <v>314.15926535897933</v>
      </c>
      <c r="J16" s="63">
        <f>G16/I16</f>
        <v>5.9683103659460748E-4</v>
      </c>
      <c r="K16" s="63">
        <f>G16/I16^2</f>
        <v>1.8997721932938332E-6</v>
      </c>
      <c r="L16" s="69">
        <f>0.2*J6</f>
        <v>0.12</v>
      </c>
      <c r="M16" s="65">
        <f>PRODUCT(K$3:K$5,O$22)</f>
        <v>0.1875</v>
      </c>
      <c r="N16" s="65"/>
      <c r="O16" s="65"/>
      <c r="P16" s="65"/>
      <c r="Q16" s="65"/>
      <c r="R16" s="65"/>
      <c r="S16" s="69">
        <f>M16*2/3</f>
        <v>0.125</v>
      </c>
      <c r="U16" s="19"/>
      <c r="V16" s="21"/>
    </row>
    <row r="17" spans="2:22" x14ac:dyDescent="0.2">
      <c r="B17" s="17">
        <f t="shared" ref="B17:B25" si="6">B16+0.02</f>
        <v>0.04</v>
      </c>
      <c r="C17" s="27">
        <f t="shared" si="0"/>
        <v>2.5</v>
      </c>
      <c r="D17" s="11">
        <f t="shared" si="1"/>
        <v>1.5</v>
      </c>
      <c r="E17" s="28">
        <f t="shared" si="2"/>
        <v>0.41666666666666669</v>
      </c>
      <c r="F17" s="28">
        <f t="shared" si="3"/>
        <v>0.25</v>
      </c>
      <c r="G17" s="29">
        <f t="shared" si="4"/>
        <v>0.1875</v>
      </c>
      <c r="H17" s="30">
        <f t="shared" si="5"/>
        <v>7.4999999999999997E-2</v>
      </c>
      <c r="I17" s="30">
        <f t="shared" ref="I17:I52" si="7">2*PI()/B17</f>
        <v>157.07963267948966</v>
      </c>
      <c r="J17" s="63">
        <f t="shared" ref="J17:J52" si="8">G17/I17</f>
        <v>1.193662073189215E-3</v>
      </c>
      <c r="K17" s="63">
        <f t="shared" ref="K17:K52" si="9">G17/I17^2</f>
        <v>7.5990887731753329E-6</v>
      </c>
      <c r="L17" s="64">
        <f>J$6</f>
        <v>0.6</v>
      </c>
      <c r="M17" s="31">
        <v>0</v>
      </c>
      <c r="N17" s="32">
        <f>2*PI()/L17</f>
        <v>10.471975511965978</v>
      </c>
      <c r="O17" s="32">
        <f>M17/N17</f>
        <v>0</v>
      </c>
      <c r="P17" s="32">
        <f>M17/N17^2</f>
        <v>0</v>
      </c>
      <c r="Q17" s="54">
        <f>L17</f>
        <v>0.6</v>
      </c>
      <c r="R17" s="32">
        <v>0</v>
      </c>
      <c r="S17" s="65">
        <v>0</v>
      </c>
      <c r="U17" s="19"/>
      <c r="V17" s="21"/>
    </row>
    <row r="18" spans="2:22" x14ac:dyDescent="0.2">
      <c r="B18" s="17">
        <f t="shared" si="6"/>
        <v>0.06</v>
      </c>
      <c r="C18" s="27">
        <f t="shared" si="0"/>
        <v>2.5</v>
      </c>
      <c r="D18" s="11">
        <f t="shared" si="1"/>
        <v>1.75</v>
      </c>
      <c r="E18" s="28">
        <f t="shared" si="2"/>
        <v>0.41666666666666669</v>
      </c>
      <c r="F18" s="28">
        <f t="shared" si="3"/>
        <v>0.29166666666666669</v>
      </c>
      <c r="G18" s="29">
        <f t="shared" si="4"/>
        <v>0.1875</v>
      </c>
      <c r="H18" s="30">
        <f t="shared" si="5"/>
        <v>8.7500000000000008E-2</v>
      </c>
      <c r="I18" s="30">
        <f t="shared" si="7"/>
        <v>104.71975511965978</v>
      </c>
      <c r="J18" s="63">
        <f t="shared" si="8"/>
        <v>1.7904931097838224E-3</v>
      </c>
      <c r="K18" s="63">
        <f t="shared" si="9"/>
        <v>1.7097949739644496E-5</v>
      </c>
      <c r="L18" s="64">
        <f>J$6</f>
        <v>0.6</v>
      </c>
      <c r="M18" s="31">
        <f>PRODUCT(K$3:K$5,O$22)</f>
        <v>0.1875</v>
      </c>
      <c r="N18" s="32">
        <f>2*PI()/L18</f>
        <v>10.471975511965978</v>
      </c>
      <c r="O18" s="32">
        <f>M18/N18</f>
        <v>1.7904931097838226E-2</v>
      </c>
      <c r="P18" s="32">
        <f>M18/N18^2</f>
        <v>1.7097949739644498E-3</v>
      </c>
      <c r="Q18" s="54">
        <f>L18</f>
        <v>0.6</v>
      </c>
      <c r="R18" s="32">
        <f>M22</f>
        <v>2.5</v>
      </c>
      <c r="S18" s="69">
        <f>M18*2/3</f>
        <v>0.125</v>
      </c>
      <c r="U18" s="19"/>
      <c r="V18" s="21"/>
    </row>
    <row r="19" spans="2:22" x14ac:dyDescent="0.2">
      <c r="B19" s="17">
        <f t="shared" si="6"/>
        <v>0.08</v>
      </c>
      <c r="C19" s="27">
        <f t="shared" si="0"/>
        <v>2.5</v>
      </c>
      <c r="D19" s="11">
        <f t="shared" si="1"/>
        <v>2</v>
      </c>
      <c r="E19" s="28">
        <f t="shared" si="2"/>
        <v>0.41666666666666669</v>
      </c>
      <c r="F19" s="28">
        <f t="shared" si="3"/>
        <v>0.33333333333333331</v>
      </c>
      <c r="G19" s="29">
        <f t="shared" si="4"/>
        <v>0.1875</v>
      </c>
      <c r="H19" s="30">
        <f t="shared" si="5"/>
        <v>9.9999999999999992E-2</v>
      </c>
      <c r="I19" s="30">
        <f t="shared" si="7"/>
        <v>78.539816339744831</v>
      </c>
      <c r="J19" s="63">
        <f t="shared" si="8"/>
        <v>2.3873241463784299E-3</v>
      </c>
      <c r="K19" s="63">
        <f t="shared" si="9"/>
        <v>3.0396355092701332E-5</v>
      </c>
      <c r="L19" s="64">
        <f>J7</f>
        <v>2</v>
      </c>
      <c r="M19" s="31">
        <v>0</v>
      </c>
      <c r="N19" s="32">
        <f>2*PI()/L19</f>
        <v>3.1415926535897931</v>
      </c>
      <c r="O19" s="32">
        <f>M19/N19</f>
        <v>0</v>
      </c>
      <c r="P19" s="32">
        <f>M19/N19^2</f>
        <v>0</v>
      </c>
      <c r="Q19" s="54">
        <f>L19</f>
        <v>2</v>
      </c>
      <c r="R19" s="32">
        <v>0</v>
      </c>
      <c r="S19" s="69">
        <v>0</v>
      </c>
      <c r="U19" s="19"/>
      <c r="V19" s="21"/>
    </row>
    <row r="20" spans="2:22" x14ac:dyDescent="0.2">
      <c r="B20" s="17">
        <f t="shared" si="6"/>
        <v>0.1</v>
      </c>
      <c r="C20" s="27">
        <f t="shared" si="0"/>
        <v>2.5</v>
      </c>
      <c r="D20" s="11">
        <f t="shared" si="1"/>
        <v>2.25</v>
      </c>
      <c r="E20" s="28">
        <f t="shared" si="2"/>
        <v>0.41666666666666669</v>
      </c>
      <c r="F20" s="28">
        <f t="shared" si="3"/>
        <v>0.375</v>
      </c>
      <c r="G20" s="29">
        <f t="shared" si="4"/>
        <v>0.1875</v>
      </c>
      <c r="H20" s="30">
        <f t="shared" si="5"/>
        <v>0.11249999999999999</v>
      </c>
      <c r="I20" s="30">
        <f t="shared" si="7"/>
        <v>62.831853071795862</v>
      </c>
      <c r="J20" s="63">
        <f t="shared" si="8"/>
        <v>2.9841551829730378E-3</v>
      </c>
      <c r="K20" s="63">
        <f t="shared" si="9"/>
        <v>4.7494304832345831E-5</v>
      </c>
      <c r="L20" s="64">
        <f>J7</f>
        <v>2</v>
      </c>
      <c r="M20" s="31">
        <f>PRODUCT(K$3:K$5,O23)</f>
        <v>5.6249999999999994E-2</v>
      </c>
      <c r="N20" s="32">
        <f>2*PI()/L20</f>
        <v>3.1415926535897931</v>
      </c>
      <c r="O20" s="32">
        <f>M20/N20</f>
        <v>1.7904931097838223E-2</v>
      </c>
      <c r="P20" s="32">
        <f>M20/N20^2</f>
        <v>5.6993165798814999E-3</v>
      </c>
      <c r="Q20" s="54">
        <f>L20</f>
        <v>2</v>
      </c>
      <c r="R20" s="32">
        <f>M23</f>
        <v>0.75</v>
      </c>
      <c r="S20" s="69">
        <f>M20*2/3</f>
        <v>3.7499999999999999E-2</v>
      </c>
      <c r="U20" s="19"/>
      <c r="V20" s="21"/>
    </row>
    <row r="21" spans="2:22" x14ac:dyDescent="0.2">
      <c r="B21" s="17">
        <f t="shared" si="6"/>
        <v>0.12000000000000001</v>
      </c>
      <c r="C21" s="27">
        <f t="shared" si="0"/>
        <v>2.5</v>
      </c>
      <c r="D21" s="11">
        <f t="shared" si="1"/>
        <v>2.5</v>
      </c>
      <c r="E21" s="28">
        <f t="shared" si="2"/>
        <v>0.41666666666666669</v>
      </c>
      <c r="F21" s="28">
        <f t="shared" si="3"/>
        <v>0.41666666666666669</v>
      </c>
      <c r="G21" s="29">
        <f t="shared" si="4"/>
        <v>0.1875</v>
      </c>
      <c r="H21" s="30">
        <f t="shared" si="5"/>
        <v>0.125</v>
      </c>
      <c r="I21" s="30">
        <f t="shared" si="7"/>
        <v>52.359877559829883</v>
      </c>
      <c r="J21" s="63">
        <f t="shared" si="8"/>
        <v>3.5809862195676453E-3</v>
      </c>
      <c r="K21" s="63">
        <f t="shared" si="9"/>
        <v>6.8391798958578011E-5</v>
      </c>
      <c r="L21" s="32"/>
      <c r="M21" s="32" t="s">
        <v>16</v>
      </c>
      <c r="N21" s="65" t="s">
        <v>102</v>
      </c>
      <c r="O21" s="32" t="s">
        <v>105</v>
      </c>
      <c r="P21" s="65"/>
      <c r="Q21" s="65"/>
      <c r="R21" s="65"/>
      <c r="S21" s="65"/>
      <c r="U21" s="19"/>
      <c r="V21" s="21"/>
    </row>
    <row r="22" spans="2:22" x14ac:dyDescent="0.2">
      <c r="B22" s="17">
        <f t="shared" si="6"/>
        <v>0.14000000000000001</v>
      </c>
      <c r="C22" s="27">
        <f t="shared" si="0"/>
        <v>2.5</v>
      </c>
      <c r="D22" s="11">
        <f t="shared" si="1"/>
        <v>2.5</v>
      </c>
      <c r="E22" s="28">
        <f t="shared" si="2"/>
        <v>0.41666666666666669</v>
      </c>
      <c r="F22" s="28">
        <f t="shared" si="3"/>
        <v>0.41666666666666669</v>
      </c>
      <c r="G22" s="29">
        <f t="shared" si="4"/>
        <v>0.1875</v>
      </c>
      <c r="H22" s="30">
        <f t="shared" si="5"/>
        <v>0.125</v>
      </c>
      <c r="I22" s="30">
        <f t="shared" si="7"/>
        <v>44.879895051282752</v>
      </c>
      <c r="J22" s="63">
        <f t="shared" si="8"/>
        <v>4.1778172561622532E-3</v>
      </c>
      <c r="K22" s="63">
        <f t="shared" si="9"/>
        <v>9.3088837471397867E-5</v>
      </c>
      <c r="L22" s="64" t="s">
        <v>46</v>
      </c>
      <c r="M22" s="31">
        <f>IF(L17&lt;J$6,2.5,IF(AND(J$6&lt;=L17,L17&lt;J$7)=TRUE,PRODUCT(2.5,J$6/L17),IF(L17&gt;=J$7,PRODUCT(2.5,J$6,J$7/L17^2))))</f>
        <v>2.5</v>
      </c>
      <c r="N22" s="65">
        <f>IF(L15&lt;0.2*J$6,1+7.5*L15/J$6,IF(L15&lt;J$6,2.5,IF(AND(J$6&lt;=L15,L15&lt;J$7)=TRUE,PRODUCT(2.5,J$6/L15),IF(L15&gt;=J$7,PRODUCT(2.5,J$6,J$7/L15^2)))))</f>
        <v>2.5</v>
      </c>
      <c r="O22" s="31">
        <f>M22/K$9</f>
        <v>0.41666666666666669</v>
      </c>
      <c r="P22" s="65"/>
      <c r="Q22" s="65"/>
      <c r="R22" s="65"/>
      <c r="S22" s="65"/>
      <c r="U22" s="19"/>
      <c r="V22" s="21"/>
    </row>
    <row r="23" spans="2:22" x14ac:dyDescent="0.2">
      <c r="B23" s="17">
        <f t="shared" si="6"/>
        <v>0.16</v>
      </c>
      <c r="C23" s="27">
        <f t="shared" si="0"/>
        <v>2.5</v>
      </c>
      <c r="D23" s="11">
        <f t="shared" si="1"/>
        <v>2.5</v>
      </c>
      <c r="E23" s="28">
        <f t="shared" si="2"/>
        <v>0.41666666666666669</v>
      </c>
      <c r="F23" s="28">
        <f t="shared" si="3"/>
        <v>0.41666666666666669</v>
      </c>
      <c r="G23" s="29">
        <f t="shared" si="4"/>
        <v>0.1875</v>
      </c>
      <c r="H23" s="30">
        <f t="shared" si="5"/>
        <v>0.125</v>
      </c>
      <c r="I23" s="30">
        <f t="shared" si="7"/>
        <v>39.269908169872416</v>
      </c>
      <c r="J23" s="63">
        <f>G23/I23</f>
        <v>4.7746482927568598E-3</v>
      </c>
      <c r="K23" s="63">
        <f t="shared" si="9"/>
        <v>1.2158542037080533E-4</v>
      </c>
      <c r="L23" s="64" t="s">
        <v>57</v>
      </c>
      <c r="M23" s="31">
        <f>IF(L19&lt;J$6,2.5,IF(AND(J$6&lt;=L19,L19&lt;J$7)=TRUE,PRODUCT(2.5,J$6/L19),IF(L19&gt;=J$7,PRODUCT(2.5,J$6,J$7/L19^2))))</f>
        <v>0.75</v>
      </c>
      <c r="N23" s="65">
        <f>IF(L16&lt;0.2*J$6,1+7.5*L16/J$6,IF(L16&lt;J$6,2.5,IF(AND(J$6&lt;=L16,L16&lt;J$7)=TRUE,PRODUCT(2.5,J$6/L16),IF(L16&gt;=J$7,PRODUCT(2.5,J$6,J$7/L16^2)))))</f>
        <v>2.5</v>
      </c>
      <c r="O23" s="31">
        <f>M23/K$9</f>
        <v>0.125</v>
      </c>
      <c r="P23" s="65"/>
      <c r="Q23" s="65"/>
      <c r="R23" s="65"/>
      <c r="S23" s="65"/>
      <c r="U23" s="19"/>
      <c r="V23" s="21"/>
    </row>
    <row r="24" spans="2:22" x14ac:dyDescent="0.2">
      <c r="B24" s="17">
        <f t="shared" si="6"/>
        <v>0.18</v>
      </c>
      <c r="C24" s="27">
        <f t="shared" si="0"/>
        <v>2.5</v>
      </c>
      <c r="D24" s="11">
        <f t="shared" si="1"/>
        <v>2.5</v>
      </c>
      <c r="E24" s="28">
        <f t="shared" si="2"/>
        <v>0.41666666666666669</v>
      </c>
      <c r="F24" s="28">
        <f t="shared" si="3"/>
        <v>0.41666666666666669</v>
      </c>
      <c r="G24" s="29">
        <f t="shared" si="4"/>
        <v>0.1875</v>
      </c>
      <c r="H24" s="30">
        <f t="shared" si="5"/>
        <v>0.125</v>
      </c>
      <c r="I24" s="30">
        <f t="shared" si="7"/>
        <v>34.906585039886593</v>
      </c>
      <c r="J24" s="63">
        <f t="shared" si="8"/>
        <v>5.3714793293514673E-3</v>
      </c>
      <c r="K24" s="63">
        <f t="shared" si="9"/>
        <v>1.5388154765680047E-4</v>
      </c>
      <c r="L24" s="65"/>
      <c r="M24" s="65"/>
      <c r="N24" s="65"/>
      <c r="O24" s="65" t="s">
        <v>106</v>
      </c>
      <c r="P24" s="65"/>
      <c r="Q24" s="65"/>
      <c r="R24" s="65"/>
      <c r="S24" s="65"/>
      <c r="U24" s="19"/>
      <c r="V24" s="21"/>
    </row>
    <row r="25" spans="2:22" x14ac:dyDescent="0.2">
      <c r="B25" s="17">
        <f t="shared" si="6"/>
        <v>0.19999999999999998</v>
      </c>
      <c r="C25" s="27">
        <f t="shared" si="0"/>
        <v>2.5</v>
      </c>
      <c r="D25" s="11">
        <f t="shared" si="1"/>
        <v>2.5</v>
      </c>
      <c r="E25" s="28">
        <f t="shared" si="2"/>
        <v>0.41666666666666669</v>
      </c>
      <c r="F25" s="28">
        <f t="shared" si="3"/>
        <v>0.41666666666666669</v>
      </c>
      <c r="G25" s="29">
        <f t="shared" si="4"/>
        <v>0.1875</v>
      </c>
      <c r="H25" s="30">
        <f t="shared" si="5"/>
        <v>0.125</v>
      </c>
      <c r="I25" s="30">
        <f t="shared" si="7"/>
        <v>31.415926535897935</v>
      </c>
      <c r="J25" s="63">
        <f t="shared" si="8"/>
        <v>5.9683103659460748E-3</v>
      </c>
      <c r="K25" s="63">
        <f t="shared" si="9"/>
        <v>1.899772193293833E-4</v>
      </c>
      <c r="L25" s="65"/>
      <c r="M25" s="65"/>
      <c r="N25" s="65"/>
      <c r="O25" s="70">
        <f>0.2*J6</f>
        <v>0.12</v>
      </c>
      <c r="P25" s="65"/>
      <c r="Q25" s="65"/>
      <c r="R25" s="65"/>
      <c r="S25" s="65"/>
      <c r="U25" s="19"/>
      <c r="V25" s="21"/>
    </row>
    <row r="26" spans="2:22" x14ac:dyDescent="0.2">
      <c r="B26" s="17">
        <f>B25+0.05</f>
        <v>0.25</v>
      </c>
      <c r="C26" s="27">
        <f t="shared" si="0"/>
        <v>2.5</v>
      </c>
      <c r="D26" s="11">
        <f t="shared" si="1"/>
        <v>2.5</v>
      </c>
      <c r="E26" s="28">
        <f t="shared" si="2"/>
        <v>0.41666666666666669</v>
      </c>
      <c r="F26" s="28">
        <f t="shared" si="3"/>
        <v>0.41666666666666669</v>
      </c>
      <c r="G26" s="29">
        <f t="shared" si="4"/>
        <v>0.1875</v>
      </c>
      <c r="H26" s="30">
        <f t="shared" si="5"/>
        <v>0.125</v>
      </c>
      <c r="I26" s="30">
        <f t="shared" si="7"/>
        <v>25.132741228718345</v>
      </c>
      <c r="J26" s="63">
        <f t="shared" si="8"/>
        <v>7.4603879574325939E-3</v>
      </c>
      <c r="K26" s="63">
        <f t="shared" si="9"/>
        <v>2.9683940520216145E-4</v>
      </c>
      <c r="L26" s="65"/>
      <c r="M26" s="65"/>
      <c r="N26" s="65"/>
      <c r="O26" s="65"/>
      <c r="P26" s="65"/>
      <c r="U26" s="19"/>
      <c r="V26" s="21"/>
    </row>
    <row r="27" spans="2:22" x14ac:dyDescent="0.2">
      <c r="B27" s="17">
        <f t="shared" ref="B27:B41" si="10">B26+0.05</f>
        <v>0.3</v>
      </c>
      <c r="C27" s="27">
        <f t="shared" si="0"/>
        <v>2.5</v>
      </c>
      <c r="D27" s="11">
        <f t="shared" si="1"/>
        <v>2.5</v>
      </c>
      <c r="E27" s="28">
        <f t="shared" si="2"/>
        <v>0.41666666666666669</v>
      </c>
      <c r="F27" s="28">
        <f t="shared" si="3"/>
        <v>0.41666666666666669</v>
      </c>
      <c r="G27" s="29">
        <f t="shared" si="4"/>
        <v>0.1875</v>
      </c>
      <c r="H27" s="30">
        <f t="shared" si="5"/>
        <v>0.125</v>
      </c>
      <c r="I27" s="30">
        <f t="shared" si="7"/>
        <v>20.943951023931955</v>
      </c>
      <c r="J27" s="63">
        <f t="shared" si="8"/>
        <v>8.952465548919113E-3</v>
      </c>
      <c r="K27" s="63">
        <f t="shared" si="9"/>
        <v>4.2744874349111246E-4</v>
      </c>
      <c r="L27" s="65"/>
      <c r="M27" s="65"/>
      <c r="N27" s="65"/>
      <c r="O27" s="65"/>
      <c r="P27" s="65"/>
      <c r="U27" s="19"/>
      <c r="V27" s="21"/>
    </row>
    <row r="28" spans="2:22" x14ac:dyDescent="0.2">
      <c r="B28" s="17">
        <f t="shared" si="10"/>
        <v>0.35</v>
      </c>
      <c r="C28" s="27">
        <f t="shared" si="0"/>
        <v>2.5</v>
      </c>
      <c r="D28" s="11">
        <f t="shared" si="1"/>
        <v>2.5</v>
      </c>
      <c r="E28" s="28">
        <f t="shared" si="2"/>
        <v>0.41666666666666669</v>
      </c>
      <c r="F28" s="28">
        <f t="shared" si="3"/>
        <v>0.41666666666666669</v>
      </c>
      <c r="G28" s="29">
        <f t="shared" si="4"/>
        <v>0.1875</v>
      </c>
      <c r="H28" s="30">
        <f t="shared" si="5"/>
        <v>0.125</v>
      </c>
      <c r="I28" s="30">
        <f t="shared" si="7"/>
        <v>17.951958020513104</v>
      </c>
      <c r="J28" s="63">
        <f t="shared" si="8"/>
        <v>1.0444543140405632E-2</v>
      </c>
      <c r="K28" s="63">
        <f t="shared" si="9"/>
        <v>5.8180523419623653E-4</v>
      </c>
      <c r="L28" s="65"/>
      <c r="M28" s="65"/>
      <c r="N28" s="65"/>
      <c r="O28" s="65"/>
      <c r="P28" s="65"/>
      <c r="T28" s="22"/>
      <c r="U28" s="19"/>
      <c r="V28" s="19"/>
    </row>
    <row r="29" spans="2:22" x14ac:dyDescent="0.2">
      <c r="B29" s="17">
        <f t="shared" si="10"/>
        <v>0.39999999999999997</v>
      </c>
      <c r="C29" s="27">
        <f t="shared" si="0"/>
        <v>2.5</v>
      </c>
      <c r="D29" s="11">
        <f t="shared" si="1"/>
        <v>2.5</v>
      </c>
      <c r="E29" s="28">
        <f t="shared" si="2"/>
        <v>0.41666666666666669</v>
      </c>
      <c r="F29" s="28">
        <f t="shared" si="3"/>
        <v>0.41666666666666669</v>
      </c>
      <c r="G29" s="29">
        <f t="shared" si="4"/>
        <v>0.1875</v>
      </c>
      <c r="H29" s="30">
        <f t="shared" si="5"/>
        <v>0.125</v>
      </c>
      <c r="I29" s="30">
        <f t="shared" si="7"/>
        <v>15.707963267948967</v>
      </c>
      <c r="J29" s="63">
        <f t="shared" si="8"/>
        <v>1.193662073189215E-2</v>
      </c>
      <c r="K29" s="63">
        <f t="shared" si="9"/>
        <v>7.5990887731753319E-4</v>
      </c>
      <c r="L29" s="65"/>
      <c r="M29" s="65"/>
      <c r="N29" s="65"/>
      <c r="O29" s="65"/>
      <c r="P29" s="65"/>
      <c r="T29" s="22"/>
    </row>
    <row r="30" spans="2:22" x14ac:dyDescent="0.2">
      <c r="B30" s="17">
        <f t="shared" si="10"/>
        <v>0.44999999999999996</v>
      </c>
      <c r="C30" s="27">
        <f t="shared" si="0"/>
        <v>2.5</v>
      </c>
      <c r="D30" s="11">
        <f t="shared" si="1"/>
        <v>2.5</v>
      </c>
      <c r="E30" s="28">
        <f t="shared" si="2"/>
        <v>0.41666666666666669</v>
      </c>
      <c r="F30" s="28">
        <f t="shared" si="3"/>
        <v>0.41666666666666669</v>
      </c>
      <c r="G30" s="29">
        <f t="shared" si="4"/>
        <v>0.1875</v>
      </c>
      <c r="H30" s="30">
        <f t="shared" si="5"/>
        <v>0.125</v>
      </c>
      <c r="I30" s="30">
        <f t="shared" si="7"/>
        <v>13.962634015954638</v>
      </c>
      <c r="J30" s="63">
        <f t="shared" si="8"/>
        <v>1.3428698323378667E-2</v>
      </c>
      <c r="K30" s="63">
        <f t="shared" si="9"/>
        <v>9.6175967285500291E-4</v>
      </c>
      <c r="L30" s="65"/>
      <c r="M30" s="65"/>
      <c r="N30" s="65"/>
      <c r="O30" s="65"/>
      <c r="P30" s="31"/>
      <c r="Q30" s="34"/>
      <c r="R30" s="33"/>
      <c r="S30" s="23"/>
      <c r="T30" s="22"/>
    </row>
    <row r="31" spans="2:22" x14ac:dyDescent="0.2">
      <c r="B31" s="17">
        <f t="shared" si="10"/>
        <v>0.49999999999999994</v>
      </c>
      <c r="C31" s="27">
        <f t="shared" si="0"/>
        <v>2.5</v>
      </c>
      <c r="D31" s="11">
        <f t="shared" si="1"/>
        <v>2.5</v>
      </c>
      <c r="E31" s="28">
        <f t="shared" si="2"/>
        <v>0.41666666666666669</v>
      </c>
      <c r="F31" s="28">
        <f t="shared" si="3"/>
        <v>0.41666666666666669</v>
      </c>
      <c r="G31" s="29">
        <f t="shared" si="4"/>
        <v>0.1875</v>
      </c>
      <c r="H31" s="30">
        <f t="shared" si="5"/>
        <v>0.125</v>
      </c>
      <c r="I31" s="30">
        <f t="shared" si="7"/>
        <v>12.566370614359174</v>
      </c>
      <c r="J31" s="63">
        <f t="shared" si="8"/>
        <v>1.4920775914865186E-2</v>
      </c>
      <c r="K31" s="63">
        <f t="shared" si="9"/>
        <v>1.1873576208086456E-3</v>
      </c>
      <c r="L31" s="65"/>
      <c r="M31" s="65"/>
      <c r="N31" s="65"/>
      <c r="O31" s="65"/>
      <c r="P31" s="31"/>
      <c r="Q31" s="34"/>
      <c r="R31" s="33"/>
      <c r="S31" s="23"/>
      <c r="T31" s="22"/>
    </row>
    <row r="32" spans="2:22" x14ac:dyDescent="0.2">
      <c r="B32" s="17">
        <f t="shared" si="10"/>
        <v>0.54999999999999993</v>
      </c>
      <c r="C32" s="27">
        <f t="shared" si="0"/>
        <v>2.5</v>
      </c>
      <c r="D32" s="11">
        <f t="shared" si="1"/>
        <v>2.5</v>
      </c>
      <c r="E32" s="28">
        <f t="shared" si="2"/>
        <v>0.41666666666666669</v>
      </c>
      <c r="F32" s="28">
        <f t="shared" si="3"/>
        <v>0.41666666666666669</v>
      </c>
      <c r="G32" s="29">
        <f t="shared" si="4"/>
        <v>0.1875</v>
      </c>
      <c r="H32" s="30">
        <f t="shared" si="5"/>
        <v>0.125</v>
      </c>
      <c r="I32" s="30">
        <f t="shared" si="7"/>
        <v>11.423973285781067</v>
      </c>
      <c r="J32" s="63">
        <f t="shared" si="8"/>
        <v>1.6412853506351705E-2</v>
      </c>
      <c r="K32" s="63">
        <f t="shared" si="9"/>
        <v>1.4367027211784611E-3</v>
      </c>
      <c r="L32" s="65"/>
      <c r="M32" s="65"/>
      <c r="N32" s="65"/>
      <c r="O32" s="65"/>
      <c r="P32" s="31"/>
      <c r="Q32" s="34"/>
      <c r="R32" s="33"/>
      <c r="S32" s="23"/>
      <c r="T32" s="22"/>
    </row>
    <row r="33" spans="2:20" x14ac:dyDescent="0.2">
      <c r="B33" s="17">
        <f t="shared" si="10"/>
        <v>0.6</v>
      </c>
      <c r="C33" s="27">
        <f t="shared" si="0"/>
        <v>2.5</v>
      </c>
      <c r="D33" s="11">
        <f t="shared" si="1"/>
        <v>2.5</v>
      </c>
      <c r="E33" s="28">
        <f t="shared" si="2"/>
        <v>0.41666666666666669</v>
      </c>
      <c r="F33" s="28">
        <f t="shared" si="3"/>
        <v>0.41666666666666669</v>
      </c>
      <c r="G33" s="29">
        <f t="shared" si="4"/>
        <v>0.1875</v>
      </c>
      <c r="H33" s="30">
        <f t="shared" si="5"/>
        <v>0.125</v>
      </c>
      <c r="I33" s="30">
        <f t="shared" si="7"/>
        <v>10.471975511965978</v>
      </c>
      <c r="J33" s="63">
        <f t="shared" si="8"/>
        <v>1.7904931097838226E-2</v>
      </c>
      <c r="K33" s="63">
        <f t="shared" si="9"/>
        <v>1.7097949739644498E-3</v>
      </c>
      <c r="L33" s="64"/>
      <c r="M33" s="31"/>
      <c r="N33" s="32"/>
      <c r="O33" s="32"/>
      <c r="P33" s="32"/>
      <c r="Q33" s="33"/>
      <c r="R33" s="33"/>
      <c r="S33" s="23"/>
      <c r="T33" s="22"/>
    </row>
    <row r="34" spans="2:20" x14ac:dyDescent="0.2">
      <c r="B34" s="17">
        <f t="shared" si="10"/>
        <v>0.65</v>
      </c>
      <c r="C34" s="27">
        <f t="shared" si="0"/>
        <v>2.3076923076923075</v>
      </c>
      <c r="D34" s="11">
        <f t="shared" si="1"/>
        <v>2.3076923076923075</v>
      </c>
      <c r="E34" s="28">
        <f t="shared" si="2"/>
        <v>0.38461538461538458</v>
      </c>
      <c r="F34" s="28">
        <f t="shared" si="3"/>
        <v>0.38461538461538458</v>
      </c>
      <c r="G34" s="29">
        <f t="shared" si="4"/>
        <v>0.17307692307692304</v>
      </c>
      <c r="H34" s="30">
        <f t="shared" si="5"/>
        <v>0.11538461538461536</v>
      </c>
      <c r="I34" s="30">
        <f t="shared" si="7"/>
        <v>9.6664389341224393</v>
      </c>
      <c r="J34" s="63">
        <f t="shared" si="8"/>
        <v>1.7904931097838226E-2</v>
      </c>
      <c r="K34" s="63">
        <f t="shared" si="9"/>
        <v>1.8522778884614876E-3</v>
      </c>
      <c r="L34" s="64"/>
      <c r="M34" s="31"/>
      <c r="N34" s="32"/>
      <c r="O34" s="32"/>
      <c r="P34" s="32"/>
      <c r="Q34" s="33"/>
      <c r="R34" s="33"/>
      <c r="S34" s="23"/>
      <c r="T34" s="22"/>
    </row>
    <row r="35" spans="2:20" x14ac:dyDescent="0.2">
      <c r="B35" s="17">
        <f>B34+0.05</f>
        <v>0.70000000000000007</v>
      </c>
      <c r="C35" s="27">
        <f t="shared" si="0"/>
        <v>2.1428571428571423</v>
      </c>
      <c r="D35" s="11">
        <f t="shared" si="1"/>
        <v>2.1428571428571423</v>
      </c>
      <c r="E35" s="28">
        <f t="shared" si="2"/>
        <v>0.35714285714285704</v>
      </c>
      <c r="F35" s="28">
        <f t="shared" si="3"/>
        <v>0.35714285714285704</v>
      </c>
      <c r="G35" s="29">
        <f t="shared" si="4"/>
        <v>0.16071428571428564</v>
      </c>
      <c r="H35" s="30">
        <f t="shared" si="5"/>
        <v>0.10714285714285711</v>
      </c>
      <c r="I35" s="30">
        <f t="shared" si="7"/>
        <v>8.9759790102565518</v>
      </c>
      <c r="J35" s="63">
        <f t="shared" si="8"/>
        <v>1.7904931097838219E-2</v>
      </c>
      <c r="K35" s="63">
        <f t="shared" si="9"/>
        <v>1.9947608029585243E-3</v>
      </c>
      <c r="L35" s="64"/>
      <c r="M35" s="31"/>
      <c r="N35" s="31"/>
      <c r="O35" s="31"/>
      <c r="P35" s="31"/>
      <c r="Q35" s="34"/>
      <c r="R35" s="34"/>
      <c r="S35" s="22"/>
      <c r="T35" s="22"/>
    </row>
    <row r="36" spans="2:20" x14ac:dyDescent="0.2">
      <c r="B36" s="17">
        <f t="shared" si="10"/>
        <v>0.75000000000000011</v>
      </c>
      <c r="C36" s="27">
        <f t="shared" si="0"/>
        <v>1.9999999999999996</v>
      </c>
      <c r="D36" s="11">
        <f t="shared" si="1"/>
        <v>1.9999999999999996</v>
      </c>
      <c r="E36" s="28">
        <f t="shared" si="2"/>
        <v>0.33333333333333326</v>
      </c>
      <c r="F36" s="28">
        <f t="shared" si="3"/>
        <v>0.33333333333333326</v>
      </c>
      <c r="G36" s="29">
        <f t="shared" si="4"/>
        <v>0.14999999999999994</v>
      </c>
      <c r="H36" s="30">
        <f t="shared" si="5"/>
        <v>9.9999999999999978E-2</v>
      </c>
      <c r="I36" s="30">
        <f t="shared" si="7"/>
        <v>8.3775804095727811</v>
      </c>
      <c r="J36" s="63">
        <f t="shared" si="8"/>
        <v>1.7904931097838219E-2</v>
      </c>
      <c r="K36" s="63">
        <f t="shared" si="9"/>
        <v>2.137243717455562E-3</v>
      </c>
      <c r="L36" s="64"/>
      <c r="M36" s="31"/>
      <c r="N36" s="31"/>
      <c r="O36" s="31"/>
      <c r="P36" s="31"/>
      <c r="Q36" s="34"/>
      <c r="R36" s="34"/>
      <c r="S36" s="22"/>
      <c r="T36" s="22"/>
    </row>
    <row r="37" spans="2:20" x14ac:dyDescent="0.2">
      <c r="B37" s="17">
        <f t="shared" si="10"/>
        <v>0.80000000000000016</v>
      </c>
      <c r="C37" s="27">
        <f t="shared" si="0"/>
        <v>1.8749999999999996</v>
      </c>
      <c r="D37" s="11">
        <f t="shared" si="1"/>
        <v>1.8749999999999996</v>
      </c>
      <c r="E37" s="28">
        <f t="shared" si="2"/>
        <v>0.31249999999999994</v>
      </c>
      <c r="F37" s="28">
        <f t="shared" si="3"/>
        <v>0.31249999999999994</v>
      </c>
      <c r="G37" s="29">
        <f t="shared" si="4"/>
        <v>0.14062499999999997</v>
      </c>
      <c r="H37" s="30">
        <f t="shared" si="5"/>
        <v>9.3749999999999986E-2</v>
      </c>
      <c r="I37" s="30">
        <f t="shared" si="7"/>
        <v>7.853981633974481</v>
      </c>
      <c r="J37" s="63">
        <f t="shared" si="8"/>
        <v>1.7904931097838226E-2</v>
      </c>
      <c r="K37" s="63">
        <f t="shared" si="9"/>
        <v>2.2797266319526006E-3</v>
      </c>
      <c r="L37" s="64"/>
      <c r="M37" s="31"/>
      <c r="N37" s="31"/>
      <c r="O37" s="31"/>
      <c r="P37" s="31"/>
      <c r="Q37" s="31"/>
      <c r="R37" s="34"/>
      <c r="S37" s="22"/>
      <c r="T37" s="22"/>
    </row>
    <row r="38" spans="2:20" x14ac:dyDescent="0.2">
      <c r="B38" s="17">
        <f t="shared" si="10"/>
        <v>0.8500000000000002</v>
      </c>
      <c r="C38" s="27">
        <f t="shared" si="0"/>
        <v>1.7647058823529407</v>
      </c>
      <c r="D38" s="11">
        <f t="shared" si="1"/>
        <v>1.7647058823529407</v>
      </c>
      <c r="E38" s="28">
        <f t="shared" si="2"/>
        <v>0.29411764705882343</v>
      </c>
      <c r="F38" s="28">
        <f t="shared" si="3"/>
        <v>0.29411764705882343</v>
      </c>
      <c r="G38" s="29">
        <f t="shared" si="4"/>
        <v>0.13235294117647053</v>
      </c>
      <c r="H38" s="30">
        <f t="shared" si="5"/>
        <v>8.8235294117647023E-2</v>
      </c>
      <c r="I38" s="30">
        <f t="shared" si="7"/>
        <v>7.3919827143289236</v>
      </c>
      <c r="J38" s="63">
        <f t="shared" si="8"/>
        <v>1.7904931097838223E-2</v>
      </c>
      <c r="K38" s="63">
        <f t="shared" si="9"/>
        <v>2.4222095464496375E-3</v>
      </c>
      <c r="L38" s="64"/>
      <c r="M38" s="31"/>
      <c r="N38" s="31"/>
      <c r="O38" s="31"/>
      <c r="P38" s="31"/>
      <c r="Q38" s="31"/>
      <c r="R38" s="34"/>
      <c r="S38" s="22"/>
      <c r="T38" s="22"/>
    </row>
    <row r="39" spans="2:20" x14ac:dyDescent="0.2">
      <c r="B39" s="17">
        <f t="shared" si="10"/>
        <v>0.90000000000000024</v>
      </c>
      <c r="C39" s="27">
        <f t="shared" si="0"/>
        <v>1.6666666666666661</v>
      </c>
      <c r="D39" s="11">
        <f t="shared" si="1"/>
        <v>1.6666666666666661</v>
      </c>
      <c r="E39" s="28">
        <f t="shared" si="2"/>
        <v>0.27777777777777768</v>
      </c>
      <c r="F39" s="28">
        <f t="shared" si="3"/>
        <v>0.27777777777777768</v>
      </c>
      <c r="G39" s="29">
        <f t="shared" si="4"/>
        <v>0.12499999999999994</v>
      </c>
      <c r="H39" s="30">
        <f t="shared" si="5"/>
        <v>8.3333333333333301E-2</v>
      </c>
      <c r="I39" s="30">
        <f t="shared" si="7"/>
        <v>6.9813170079773164</v>
      </c>
      <c r="J39" s="63">
        <f t="shared" si="8"/>
        <v>1.7904931097838223E-2</v>
      </c>
      <c r="K39" s="63">
        <f t="shared" si="9"/>
        <v>2.5646924609466753E-3</v>
      </c>
      <c r="L39" s="64"/>
      <c r="M39" s="31"/>
      <c r="N39" s="31"/>
      <c r="O39" s="31"/>
      <c r="P39" s="31"/>
      <c r="Q39" s="31"/>
      <c r="R39" s="34"/>
      <c r="S39" s="22"/>
      <c r="T39" s="22"/>
    </row>
    <row r="40" spans="2:20" x14ac:dyDescent="0.2">
      <c r="B40" s="17">
        <f t="shared" si="10"/>
        <v>0.95000000000000029</v>
      </c>
      <c r="C40" s="27">
        <f t="shared" si="0"/>
        <v>1.578947368421052</v>
      </c>
      <c r="D40" s="11">
        <f t="shared" si="1"/>
        <v>1.578947368421052</v>
      </c>
      <c r="E40" s="28">
        <f t="shared" si="2"/>
        <v>0.26315789473684198</v>
      </c>
      <c r="F40" s="28">
        <f t="shared" si="3"/>
        <v>0.26315789473684198</v>
      </c>
      <c r="G40" s="29">
        <f t="shared" si="4"/>
        <v>0.11842105263157889</v>
      </c>
      <c r="H40" s="30">
        <f t="shared" si="5"/>
        <v>7.8947368421052586E-2</v>
      </c>
      <c r="I40" s="30">
        <f t="shared" si="7"/>
        <v>6.6138792707153522</v>
      </c>
      <c r="J40" s="63">
        <f t="shared" si="8"/>
        <v>1.7904931097838223E-2</v>
      </c>
      <c r="K40" s="63">
        <f t="shared" si="9"/>
        <v>2.7071753754437122E-3</v>
      </c>
      <c r="L40" s="64"/>
      <c r="M40" s="31"/>
      <c r="N40" s="31"/>
      <c r="O40" s="31"/>
      <c r="P40" s="31"/>
      <c r="Q40" s="31"/>
      <c r="R40" s="34"/>
      <c r="S40" s="22"/>
      <c r="T40" s="22"/>
    </row>
    <row r="41" spans="2:20" x14ac:dyDescent="0.2">
      <c r="B41" s="17">
        <f t="shared" si="10"/>
        <v>1.0000000000000002</v>
      </c>
      <c r="C41" s="27">
        <f t="shared" si="0"/>
        <v>1.4999999999999996</v>
      </c>
      <c r="D41" s="11">
        <f t="shared" si="1"/>
        <v>1.4999999999999996</v>
      </c>
      <c r="E41" s="28">
        <f t="shared" si="2"/>
        <v>0.24999999999999992</v>
      </c>
      <c r="F41" s="28">
        <f t="shared" si="3"/>
        <v>0.24999999999999992</v>
      </c>
      <c r="G41" s="29">
        <f t="shared" si="4"/>
        <v>0.11249999999999995</v>
      </c>
      <c r="H41" s="30">
        <f t="shared" si="5"/>
        <v>7.4999999999999969E-2</v>
      </c>
      <c r="I41" s="30">
        <f t="shared" si="7"/>
        <v>6.2831853071795845</v>
      </c>
      <c r="J41" s="63">
        <f>G41/I41</f>
        <v>1.7904931097838223E-2</v>
      </c>
      <c r="K41" s="63">
        <f t="shared" si="9"/>
        <v>2.8496582899407504E-3</v>
      </c>
      <c r="L41" s="64"/>
      <c r="M41" s="31"/>
      <c r="N41" s="31"/>
      <c r="O41" s="31"/>
      <c r="P41" s="31"/>
      <c r="Q41" s="31"/>
      <c r="R41" s="34"/>
      <c r="S41" s="22"/>
      <c r="T41" s="22"/>
    </row>
    <row r="42" spans="2:20" x14ac:dyDescent="0.2">
      <c r="B42" s="17">
        <f>B41+0.6</f>
        <v>1.6</v>
      </c>
      <c r="C42" s="27">
        <f t="shared" si="0"/>
        <v>0.93749999999999989</v>
      </c>
      <c r="D42" s="11">
        <f t="shared" si="1"/>
        <v>0.93749999999999989</v>
      </c>
      <c r="E42" s="28">
        <f t="shared" si="2"/>
        <v>0.15624999999999997</v>
      </c>
      <c r="F42" s="28">
        <f t="shared" si="3"/>
        <v>0.15624999999999997</v>
      </c>
      <c r="G42" s="29">
        <f t="shared" si="4"/>
        <v>7.0312499999999986E-2</v>
      </c>
      <c r="H42" s="30">
        <f t="shared" si="5"/>
        <v>4.6874999999999993E-2</v>
      </c>
      <c r="I42" s="30">
        <f t="shared" si="7"/>
        <v>3.9269908169872414</v>
      </c>
      <c r="J42" s="63">
        <f>G42/I42</f>
        <v>1.7904931097838223E-2</v>
      </c>
      <c r="K42" s="63">
        <f t="shared" si="9"/>
        <v>4.5594532639051987E-3</v>
      </c>
      <c r="L42" s="64"/>
      <c r="M42" s="31"/>
      <c r="N42" s="31"/>
      <c r="O42" s="31"/>
      <c r="P42" s="31"/>
      <c r="Q42" s="31"/>
      <c r="R42" s="34"/>
      <c r="S42" s="22"/>
      <c r="T42" s="22"/>
    </row>
    <row r="43" spans="2:20" x14ac:dyDescent="0.2">
      <c r="B43" s="17">
        <f>B41+1</f>
        <v>2</v>
      </c>
      <c r="C43" s="27">
        <f t="shared" si="0"/>
        <v>0.75</v>
      </c>
      <c r="D43" s="11">
        <f t="shared" si="1"/>
        <v>0.75</v>
      </c>
      <c r="E43" s="28">
        <f t="shared" si="2"/>
        <v>0.125</v>
      </c>
      <c r="F43" s="28">
        <f t="shared" si="3"/>
        <v>0.125</v>
      </c>
      <c r="G43" s="29">
        <f t="shared" si="4"/>
        <v>5.6249999999999994E-2</v>
      </c>
      <c r="H43" s="30">
        <f t="shared" si="5"/>
        <v>3.7499999999999999E-2</v>
      </c>
      <c r="I43" s="30">
        <f t="shared" si="7"/>
        <v>3.1415926535897931</v>
      </c>
      <c r="J43" s="63">
        <f t="shared" si="8"/>
        <v>1.7904931097838223E-2</v>
      </c>
      <c r="K43" s="63">
        <f t="shared" si="9"/>
        <v>5.6993165798814999E-3</v>
      </c>
      <c r="L43" s="64"/>
      <c r="M43" s="31"/>
      <c r="N43" s="31"/>
      <c r="O43" s="31"/>
      <c r="P43" s="31"/>
      <c r="Q43" s="31"/>
      <c r="R43" s="34"/>
      <c r="S43" s="22"/>
      <c r="T43" s="22"/>
    </row>
    <row r="44" spans="2:20" x14ac:dyDescent="0.2">
      <c r="B44" s="17">
        <f>B43+0.5</f>
        <v>2.5</v>
      </c>
      <c r="C44" s="27">
        <f t="shared" si="0"/>
        <v>0.48</v>
      </c>
      <c r="D44" s="11">
        <f t="shared" si="1"/>
        <v>0.48</v>
      </c>
      <c r="E44" s="28">
        <f t="shared" si="2"/>
        <v>0.08</v>
      </c>
      <c r="F44" s="28">
        <f t="shared" si="3"/>
        <v>0.08</v>
      </c>
      <c r="G44" s="29">
        <f t="shared" si="4"/>
        <v>3.5999999999999997E-2</v>
      </c>
      <c r="H44" s="30">
        <f t="shared" si="5"/>
        <v>2.4E-2</v>
      </c>
      <c r="I44" s="30">
        <f t="shared" si="7"/>
        <v>2.5132741228718345</v>
      </c>
      <c r="J44" s="63">
        <f t="shared" si="8"/>
        <v>1.4323944878270579E-2</v>
      </c>
      <c r="K44" s="63">
        <f t="shared" si="9"/>
        <v>5.6993165798814999E-3</v>
      </c>
      <c r="L44" s="64"/>
      <c r="M44" s="31"/>
      <c r="N44" s="31"/>
      <c r="O44" s="31"/>
      <c r="P44" s="31"/>
      <c r="Q44" s="31"/>
      <c r="R44" s="34"/>
      <c r="S44" s="22"/>
      <c r="T44" s="22"/>
    </row>
    <row r="45" spans="2:20" x14ac:dyDescent="0.2">
      <c r="B45" s="17">
        <f>B43+1</f>
        <v>3</v>
      </c>
      <c r="C45" s="27">
        <f t="shared" si="0"/>
        <v>0.33333333333333331</v>
      </c>
      <c r="D45" s="11">
        <f t="shared" si="1"/>
        <v>0.33333333333333331</v>
      </c>
      <c r="E45" s="28">
        <f t="shared" si="2"/>
        <v>5.5555555555555552E-2</v>
      </c>
      <c r="F45" s="28">
        <f t="shared" si="3"/>
        <v>5.5555555555555552E-2</v>
      </c>
      <c r="G45" s="29">
        <f t="shared" si="4"/>
        <v>2.4999999999999994E-2</v>
      </c>
      <c r="H45" s="30">
        <f t="shared" si="5"/>
        <v>1.6666666666666666E-2</v>
      </c>
      <c r="I45" s="30">
        <f t="shared" si="7"/>
        <v>2.0943951023931953</v>
      </c>
      <c r="J45" s="63">
        <f t="shared" si="8"/>
        <v>1.193662073189215E-2</v>
      </c>
      <c r="K45" s="63">
        <f t="shared" si="9"/>
        <v>5.6993165798814999E-3</v>
      </c>
      <c r="L45" s="64"/>
      <c r="M45" s="31"/>
      <c r="N45" s="31"/>
      <c r="O45" s="31"/>
      <c r="P45" s="31"/>
      <c r="Q45" s="31"/>
      <c r="R45" s="35"/>
    </row>
    <row r="46" spans="2:20" x14ac:dyDescent="0.2">
      <c r="B46" s="17">
        <f t="shared" ref="B46:B52" si="11">B45+1</f>
        <v>4</v>
      </c>
      <c r="C46" s="27">
        <f t="shared" si="0"/>
        <v>0.1875</v>
      </c>
      <c r="D46" s="11">
        <f t="shared" si="1"/>
        <v>0.1875</v>
      </c>
      <c r="E46" s="28">
        <f t="shared" si="2"/>
        <v>3.125E-2</v>
      </c>
      <c r="F46" s="28">
        <f t="shared" si="3"/>
        <v>3.125E-2</v>
      </c>
      <c r="G46" s="29">
        <f t="shared" si="4"/>
        <v>1.4062499999999999E-2</v>
      </c>
      <c r="H46" s="30">
        <f t="shared" si="5"/>
        <v>9.3749999999999997E-3</v>
      </c>
      <c r="I46" s="30">
        <f t="shared" si="7"/>
        <v>1.5707963267948966</v>
      </c>
      <c r="J46" s="63">
        <f t="shared" si="8"/>
        <v>8.9524655489191113E-3</v>
      </c>
      <c r="K46" s="63">
        <f t="shared" si="9"/>
        <v>5.6993165798814999E-3</v>
      </c>
      <c r="L46" s="64"/>
      <c r="M46" s="31"/>
      <c r="N46" s="31"/>
      <c r="O46" s="31"/>
      <c r="P46" s="31"/>
      <c r="Q46" s="31"/>
      <c r="R46" s="35"/>
    </row>
    <row r="47" spans="2:20" x14ac:dyDescent="0.2">
      <c r="B47" s="17">
        <f t="shared" si="11"/>
        <v>5</v>
      </c>
      <c r="C47" s="27">
        <f t="shared" si="0"/>
        <v>0.12</v>
      </c>
      <c r="D47" s="11">
        <f t="shared" si="1"/>
        <v>0.12</v>
      </c>
      <c r="E47" s="28">
        <f t="shared" si="2"/>
        <v>0.02</v>
      </c>
      <c r="F47" s="28">
        <f t="shared" si="3"/>
        <v>0.02</v>
      </c>
      <c r="G47" s="29">
        <f t="shared" si="4"/>
        <v>8.9999999999999993E-3</v>
      </c>
      <c r="H47" s="30">
        <f t="shared" si="5"/>
        <v>6.0000000000000001E-3</v>
      </c>
      <c r="I47" s="30">
        <f t="shared" si="7"/>
        <v>1.2566370614359172</v>
      </c>
      <c r="J47" s="63">
        <f t="shared" si="8"/>
        <v>7.1619724391352897E-3</v>
      </c>
      <c r="K47" s="63">
        <f t="shared" si="9"/>
        <v>5.6993165798814999E-3</v>
      </c>
      <c r="L47" s="64"/>
      <c r="M47" s="31"/>
      <c r="N47" s="31"/>
      <c r="O47" s="31"/>
      <c r="P47" s="31"/>
      <c r="Q47" s="31"/>
      <c r="R47" s="35"/>
    </row>
    <row r="48" spans="2:20" x14ac:dyDescent="0.2">
      <c r="B48" s="17">
        <f t="shared" si="11"/>
        <v>6</v>
      </c>
      <c r="C48" s="27">
        <f t="shared" si="0"/>
        <v>8.3333333333333329E-2</v>
      </c>
      <c r="D48" s="11">
        <f t="shared" si="1"/>
        <v>8.3333333333333329E-2</v>
      </c>
      <c r="E48" s="28">
        <f t="shared" si="2"/>
        <v>1.3888888888888888E-2</v>
      </c>
      <c r="F48" s="28">
        <f t="shared" si="3"/>
        <v>1.3888888888888888E-2</v>
      </c>
      <c r="G48" s="29">
        <f t="shared" si="4"/>
        <v>6.2499999999999986E-3</v>
      </c>
      <c r="H48" s="30">
        <f t="shared" si="5"/>
        <v>4.1666666666666666E-3</v>
      </c>
      <c r="I48" s="30">
        <f t="shared" si="7"/>
        <v>1.0471975511965976</v>
      </c>
      <c r="J48" s="63">
        <f t="shared" si="8"/>
        <v>5.9683103659460748E-3</v>
      </c>
      <c r="K48" s="63">
        <f t="shared" si="9"/>
        <v>5.6993165798814999E-3</v>
      </c>
      <c r="L48" s="64"/>
      <c r="M48" s="31"/>
      <c r="N48" s="31"/>
      <c r="O48" s="31"/>
      <c r="P48" s="31"/>
      <c r="Q48" s="31"/>
      <c r="R48" s="35"/>
    </row>
    <row r="49" spans="2:18" x14ac:dyDescent="0.2">
      <c r="B49" s="17">
        <f t="shared" si="11"/>
        <v>7</v>
      </c>
      <c r="C49" s="27">
        <f t="shared" si="0"/>
        <v>6.1224489795918366E-2</v>
      </c>
      <c r="D49" s="11">
        <f t="shared" si="1"/>
        <v>6.1224489795918366E-2</v>
      </c>
      <c r="E49" s="28">
        <f t="shared" si="2"/>
        <v>1.020408163265306E-2</v>
      </c>
      <c r="F49" s="28">
        <f t="shared" si="3"/>
        <v>1.020408163265306E-2</v>
      </c>
      <c r="G49" s="29">
        <f t="shared" si="4"/>
        <v>4.5918367346938771E-3</v>
      </c>
      <c r="H49" s="30">
        <f t="shared" si="5"/>
        <v>3.0612244897959182E-3</v>
      </c>
      <c r="I49" s="30">
        <f t="shared" si="7"/>
        <v>0.89759790102565518</v>
      </c>
      <c r="J49" s="63">
        <f t="shared" si="8"/>
        <v>5.1156945993823498E-3</v>
      </c>
      <c r="K49" s="63">
        <f t="shared" si="9"/>
        <v>5.6993165798814999E-3</v>
      </c>
      <c r="L49" s="64"/>
      <c r="M49" s="31"/>
      <c r="N49" s="31"/>
      <c r="O49" s="31"/>
      <c r="P49" s="31"/>
      <c r="Q49" s="31"/>
      <c r="R49" s="35"/>
    </row>
    <row r="50" spans="2:18" x14ac:dyDescent="0.2">
      <c r="B50" s="17">
        <f t="shared" si="11"/>
        <v>8</v>
      </c>
      <c r="C50" s="27">
        <f t="shared" si="0"/>
        <v>4.6875E-2</v>
      </c>
      <c r="D50" s="11">
        <f t="shared" si="1"/>
        <v>4.6875E-2</v>
      </c>
      <c r="E50" s="28">
        <f t="shared" si="2"/>
        <v>7.8125E-3</v>
      </c>
      <c r="F50" s="28">
        <f t="shared" si="3"/>
        <v>7.8125E-3</v>
      </c>
      <c r="G50" s="29">
        <f t="shared" si="4"/>
        <v>3.5156249999999997E-3</v>
      </c>
      <c r="H50" s="30">
        <f t="shared" si="5"/>
        <v>2.3437499999999999E-3</v>
      </c>
      <c r="I50" s="30">
        <f t="shared" si="7"/>
        <v>0.78539816339744828</v>
      </c>
      <c r="J50" s="63">
        <f t="shared" si="8"/>
        <v>4.4762327744595556E-3</v>
      </c>
      <c r="K50" s="63">
        <f t="shared" si="9"/>
        <v>5.6993165798814999E-3</v>
      </c>
      <c r="L50" s="64"/>
      <c r="M50" s="31"/>
      <c r="N50" s="31"/>
      <c r="O50" s="31"/>
      <c r="P50" s="31"/>
      <c r="Q50" s="31"/>
      <c r="R50" s="35"/>
    </row>
    <row r="51" spans="2:18" x14ac:dyDescent="0.2">
      <c r="B51" s="16">
        <f t="shared" si="11"/>
        <v>9</v>
      </c>
      <c r="C51" s="27">
        <f t="shared" si="0"/>
        <v>3.7037037037037035E-2</v>
      </c>
      <c r="D51" s="11">
        <f t="shared" si="1"/>
        <v>3.7037037037037035E-2</v>
      </c>
      <c r="E51" s="28">
        <f t="shared" si="2"/>
        <v>6.1728395061728392E-3</v>
      </c>
      <c r="F51" s="28">
        <f t="shared" si="3"/>
        <v>6.1728395061728392E-3</v>
      </c>
      <c r="G51" s="29">
        <f t="shared" si="4"/>
        <v>2.7777777777777775E-3</v>
      </c>
      <c r="H51" s="30">
        <f t="shared" si="5"/>
        <v>1.8518518518518517E-3</v>
      </c>
      <c r="I51" s="30">
        <f t="shared" si="7"/>
        <v>0.69813170079773179</v>
      </c>
      <c r="J51" s="63">
        <f t="shared" si="8"/>
        <v>3.9788735772973835E-3</v>
      </c>
      <c r="K51" s="63">
        <f t="shared" si="9"/>
        <v>5.6993165798814999E-3</v>
      </c>
      <c r="L51" s="64"/>
      <c r="M51" s="31"/>
      <c r="N51" s="31"/>
      <c r="O51" s="31"/>
      <c r="P51" s="31"/>
      <c r="Q51" s="31"/>
      <c r="R51" s="35"/>
    </row>
    <row r="52" spans="2:18" x14ac:dyDescent="0.2">
      <c r="B52" s="18">
        <f t="shared" si="11"/>
        <v>10</v>
      </c>
      <c r="C52" s="36">
        <f t="shared" si="0"/>
        <v>0.03</v>
      </c>
      <c r="D52" s="67">
        <f t="shared" si="1"/>
        <v>0.03</v>
      </c>
      <c r="E52" s="37">
        <f t="shared" si="2"/>
        <v>5.0000000000000001E-3</v>
      </c>
      <c r="F52" s="28">
        <f t="shared" si="3"/>
        <v>5.0000000000000001E-3</v>
      </c>
      <c r="G52" s="38">
        <f t="shared" si="4"/>
        <v>2.2499999999999998E-3</v>
      </c>
      <c r="H52" s="85">
        <f t="shared" si="5"/>
        <v>1.5E-3</v>
      </c>
      <c r="I52" s="30">
        <f t="shared" si="7"/>
        <v>0.62831853071795862</v>
      </c>
      <c r="J52" s="63">
        <f t="shared" si="8"/>
        <v>3.5809862195676449E-3</v>
      </c>
      <c r="K52" s="63">
        <f t="shared" si="9"/>
        <v>5.6993165798814999E-3</v>
      </c>
      <c r="L52" s="64"/>
      <c r="M52" s="31"/>
      <c r="N52" s="31"/>
      <c r="O52" s="31"/>
      <c r="P52" s="31"/>
      <c r="Q52" s="31"/>
      <c r="R52" s="35"/>
    </row>
  </sheetData>
  <sheetProtection algorithmName="SHA-512" hashValue="WfXx26d+jfsd4Qm14XWHIlxswKY2eViiM5EtVip2Euq/uusIxT6mQz5ft4uhPJMJ/GCwTTSbkW7raYK2dySc1Q==" saltValue="b6GnpX8h8ly8K+tCLAlNlw==" spinCount="100000" sheet="1" objects="1" scenarios="1"/>
  <mergeCells count="7">
    <mergeCell ref="A1:Q1"/>
    <mergeCell ref="A2:N2"/>
    <mergeCell ref="A10:A11"/>
    <mergeCell ref="J6:K6"/>
    <mergeCell ref="J7:K7"/>
    <mergeCell ref="B3:C3"/>
    <mergeCell ref="B9:H9"/>
  </mergeCells>
  <pageMargins left="0.7" right="0.7" top="0.75" bottom="0.75" header="0.3" footer="0.3"/>
  <pageSetup orientation="portrait" r:id="rId1"/>
  <ignoredErrors>
    <ignoredError sqref="B44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400-000000000000}">
          <x14:formula1>
            <xm:f>Parametros!$F$7:$F$10</xm:f>
          </x14:formula1>
          <xm:sqref>B7</xm:sqref>
        </x14:dataValidation>
        <x14:dataValidation type="list" allowBlank="1" showInputMessage="1" showErrorMessage="1" xr:uid="{00000000-0002-0000-0400-000001000000}">
          <x14:formula1>
            <xm:f>Parametros!$B$8:$B$19</xm:f>
          </x14:formula1>
          <xm:sqref>B9</xm:sqref>
        </x14:dataValidation>
        <x14:dataValidation type="list" allowBlank="1" showInputMessage="1" showErrorMessage="1" xr:uid="{00000000-0002-0000-0400-000002000000}">
          <x14:formula1>
            <xm:f>Parametros!$J$16:$J$20</xm:f>
          </x14:formula1>
          <xm:sqref>B8</xm:sqref>
        </x14:dataValidation>
        <x14:dataValidation type="list" allowBlank="1" showInputMessage="1" showErrorMessage="1" xr:uid="{00000000-0002-0000-0400-000003000000}">
          <x14:formula1>
            <xm:f>Parametros!$F$26:$F$30</xm:f>
          </x14:formula1>
          <xm:sqref>B6</xm:sqref>
        </x14:dataValidation>
        <x14:dataValidation type="list" allowBlank="1" showInputMessage="1" showErrorMessage="1" xr:uid="{00000000-0002-0000-0400-000004000000}">
          <x14:formula1>
            <xm:f>Parametros!$B$32:$B$56</xm:f>
          </x14:formula1>
          <xm:sqref>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Y56"/>
  <sheetViews>
    <sheetView workbookViewId="0">
      <selection activeCell="C3" sqref="C3"/>
    </sheetView>
  </sheetViews>
  <sheetFormatPr baseColWidth="10" defaultRowHeight="12.75" x14ac:dyDescent="0.2"/>
  <cols>
    <col min="1" max="1" width="11.42578125" style="1"/>
    <col min="2" max="2" width="56.5703125" style="1" customWidth="1"/>
    <col min="3" max="5" width="11.42578125" style="1"/>
    <col min="6" max="6" width="15.85546875" style="1" bestFit="1" customWidth="1"/>
    <col min="7" max="7" width="11.42578125" style="1"/>
    <col min="8" max="8" width="15.7109375" style="1" customWidth="1"/>
    <col min="9" max="9" width="11.42578125" style="1"/>
    <col min="10" max="10" width="6.28515625" style="1" customWidth="1"/>
    <col min="11" max="11" width="10.28515625" style="1" customWidth="1"/>
    <col min="12" max="15" width="11.42578125" style="1"/>
    <col min="16" max="16" width="2.85546875" style="1" bestFit="1" customWidth="1"/>
    <col min="17" max="21" width="4" style="1" bestFit="1" customWidth="1"/>
    <col min="22" max="16384" width="11.42578125" style="1"/>
  </cols>
  <sheetData>
    <row r="3" spans="2:24" ht="38.25" x14ac:dyDescent="0.2">
      <c r="B3" s="25" t="s">
        <v>55</v>
      </c>
      <c r="C3" s="26">
        <v>35</v>
      </c>
    </row>
    <row r="4" spans="2:24" ht="38.25" x14ac:dyDescent="0.2">
      <c r="B4" s="25" t="s">
        <v>56</v>
      </c>
      <c r="C4" s="26">
        <v>45</v>
      </c>
    </row>
    <row r="5" spans="2:24" ht="38.25" x14ac:dyDescent="0.2">
      <c r="B5" s="25" t="s">
        <v>21</v>
      </c>
      <c r="C5" s="26">
        <v>60</v>
      </c>
    </row>
    <row r="6" spans="2:24" x14ac:dyDescent="0.2">
      <c r="I6" s="11"/>
      <c r="J6" s="11" t="s">
        <v>35</v>
      </c>
      <c r="K6" s="11" t="s">
        <v>3</v>
      </c>
      <c r="L6" s="11" t="s">
        <v>4</v>
      </c>
      <c r="M6" s="11" t="s">
        <v>6</v>
      </c>
      <c r="N6" s="11" t="s">
        <v>8</v>
      </c>
      <c r="O6" s="11"/>
      <c r="Q6" s="11" t="s">
        <v>35</v>
      </c>
      <c r="R6" s="11" t="s">
        <v>3</v>
      </c>
      <c r="S6" s="11" t="s">
        <v>4</v>
      </c>
      <c r="T6" s="11" t="s">
        <v>6</v>
      </c>
      <c r="U6" s="11" t="s">
        <v>8</v>
      </c>
    </row>
    <row r="7" spans="2:24" x14ac:dyDescent="0.2">
      <c r="F7" s="1" t="s">
        <v>42</v>
      </c>
      <c r="G7" s="1">
        <v>0.1</v>
      </c>
      <c r="I7" s="11" t="s">
        <v>42</v>
      </c>
      <c r="J7" s="11">
        <v>0.8</v>
      </c>
      <c r="K7" s="11">
        <v>1</v>
      </c>
      <c r="L7" s="11">
        <v>1.6</v>
      </c>
      <c r="M7" s="11">
        <v>2</v>
      </c>
      <c r="N7" s="13">
        <v>3</v>
      </c>
      <c r="O7" s="11"/>
      <c r="P7" s="1" t="s">
        <v>46</v>
      </c>
      <c r="Q7" s="1">
        <v>0.3</v>
      </c>
      <c r="R7" s="1">
        <v>0.4</v>
      </c>
      <c r="S7" s="1">
        <v>0.6</v>
      </c>
      <c r="T7" s="1">
        <v>1</v>
      </c>
      <c r="U7" s="14">
        <v>1.2</v>
      </c>
    </row>
    <row r="8" spans="2:24" x14ac:dyDescent="0.2">
      <c r="B8" s="1" t="s">
        <v>58</v>
      </c>
      <c r="C8" s="1">
        <v>8</v>
      </c>
      <c r="D8" s="1">
        <v>0.01</v>
      </c>
      <c r="F8" s="1" t="s">
        <v>43</v>
      </c>
      <c r="G8" s="1">
        <v>0.25</v>
      </c>
      <c r="I8" s="11" t="s">
        <v>43</v>
      </c>
      <c r="J8" s="11">
        <v>0.8</v>
      </c>
      <c r="K8" s="11">
        <v>1</v>
      </c>
      <c r="L8" s="11">
        <v>1.2</v>
      </c>
      <c r="M8" s="11">
        <v>1.4</v>
      </c>
      <c r="N8" s="13">
        <v>4</v>
      </c>
      <c r="O8" s="11"/>
      <c r="P8" s="1" t="s">
        <v>47</v>
      </c>
      <c r="Q8" s="1">
        <v>3</v>
      </c>
      <c r="R8" s="1">
        <v>2.5</v>
      </c>
      <c r="S8" s="1">
        <v>2</v>
      </c>
      <c r="T8" s="1">
        <v>1.6</v>
      </c>
      <c r="U8" s="14">
        <v>1.4</v>
      </c>
    </row>
    <row r="9" spans="2:24" x14ac:dyDescent="0.2">
      <c r="B9" s="1" t="s">
        <v>59</v>
      </c>
      <c r="C9" s="1">
        <v>7</v>
      </c>
      <c r="D9" s="1">
        <v>0.01</v>
      </c>
      <c r="F9" s="1" t="s">
        <v>44</v>
      </c>
      <c r="G9" s="1">
        <v>0.35</v>
      </c>
      <c r="I9" s="11" t="s">
        <v>44</v>
      </c>
      <c r="J9" s="11">
        <v>0.8</v>
      </c>
      <c r="K9" s="11">
        <v>1</v>
      </c>
      <c r="L9" s="11">
        <v>1.1499999999999999</v>
      </c>
      <c r="M9" s="11">
        <v>1.2</v>
      </c>
      <c r="N9" s="13">
        <v>5</v>
      </c>
      <c r="O9" s="11"/>
    </row>
    <row r="10" spans="2:24" x14ac:dyDescent="0.2">
      <c r="B10" s="1" t="s">
        <v>60</v>
      </c>
      <c r="C10" s="1">
        <v>6</v>
      </c>
      <c r="D10" s="1">
        <v>0.01</v>
      </c>
      <c r="F10" s="1" t="s">
        <v>45</v>
      </c>
      <c r="G10" s="1">
        <v>0.45</v>
      </c>
      <c r="I10" s="11" t="s">
        <v>45</v>
      </c>
      <c r="J10" s="11">
        <v>0.8</v>
      </c>
      <c r="K10" s="11">
        <v>1</v>
      </c>
      <c r="L10" s="11">
        <v>1.05</v>
      </c>
      <c r="M10" s="11">
        <v>1.1000000000000001</v>
      </c>
      <c r="N10" s="13">
        <v>1</v>
      </c>
      <c r="O10" s="11"/>
    </row>
    <row r="11" spans="2:24" x14ac:dyDescent="0.2">
      <c r="B11" s="1" t="s">
        <v>61</v>
      </c>
      <c r="C11" s="1">
        <v>8</v>
      </c>
      <c r="D11" s="1">
        <v>0.01</v>
      </c>
      <c r="I11" s="11"/>
      <c r="J11" s="11"/>
      <c r="K11" s="11"/>
      <c r="L11" s="11"/>
      <c r="M11" s="11"/>
      <c r="N11" s="13"/>
      <c r="O11" s="11"/>
    </row>
    <row r="12" spans="2:24" x14ac:dyDescent="0.2">
      <c r="B12" s="1" t="s">
        <v>62</v>
      </c>
      <c r="C12" s="1">
        <v>6</v>
      </c>
      <c r="D12" s="1">
        <v>0.01</v>
      </c>
      <c r="I12" s="11"/>
      <c r="J12" s="11"/>
      <c r="K12" s="11"/>
      <c r="L12" s="11"/>
      <c r="M12" s="11"/>
      <c r="N12" s="13"/>
      <c r="O12" s="11"/>
    </row>
    <row r="13" spans="2:24" x14ac:dyDescent="0.2">
      <c r="B13" s="1" t="s">
        <v>63</v>
      </c>
      <c r="C13" s="1">
        <v>8</v>
      </c>
      <c r="D13" s="1">
        <v>0.01</v>
      </c>
      <c r="I13" s="11"/>
      <c r="J13" s="11"/>
      <c r="K13" s="11"/>
      <c r="L13" s="11"/>
      <c r="M13" s="11"/>
      <c r="N13" s="13"/>
      <c r="O13" s="11"/>
    </row>
    <row r="14" spans="2:24" x14ac:dyDescent="0.2">
      <c r="B14" s="1" t="s">
        <v>7</v>
      </c>
      <c r="C14" s="1">
        <v>8</v>
      </c>
      <c r="D14" s="1">
        <v>7.0000000000000001E-3</v>
      </c>
    </row>
    <row r="15" spans="2:24" x14ac:dyDescent="0.2">
      <c r="B15" s="1" t="s">
        <v>9</v>
      </c>
      <c r="C15" s="1">
        <v>7</v>
      </c>
      <c r="D15" s="1">
        <v>7.0000000000000001E-3</v>
      </c>
    </row>
    <row r="16" spans="2:24" x14ac:dyDescent="0.2">
      <c r="B16" s="1" t="s">
        <v>10</v>
      </c>
      <c r="C16" s="1">
        <v>6</v>
      </c>
      <c r="D16" s="1">
        <v>7.0000000000000001E-3</v>
      </c>
      <c r="J16" s="1" t="s">
        <v>35</v>
      </c>
      <c r="K16" s="1" t="s">
        <v>36</v>
      </c>
      <c r="L16" s="1">
        <v>1</v>
      </c>
      <c r="M16" s="1">
        <v>0.4</v>
      </c>
      <c r="N16" s="1">
        <v>1</v>
      </c>
      <c r="X16" s="1" t="s">
        <v>0</v>
      </c>
    </row>
    <row r="17" spans="1:25" x14ac:dyDescent="0.2">
      <c r="B17" s="1" t="s">
        <v>12</v>
      </c>
      <c r="C17" s="1">
        <v>4</v>
      </c>
      <c r="D17" s="1">
        <v>7.0000000000000001E-3</v>
      </c>
      <c r="J17" s="1" t="s">
        <v>3</v>
      </c>
      <c r="K17" s="1" t="s">
        <v>37</v>
      </c>
      <c r="L17" s="1">
        <v>2</v>
      </c>
      <c r="M17" s="1">
        <v>0.6</v>
      </c>
      <c r="N17" s="1">
        <v>1.2</v>
      </c>
      <c r="X17" s="1" t="s">
        <v>1</v>
      </c>
      <c r="Y17" s="1" t="s">
        <v>2</v>
      </c>
    </row>
    <row r="18" spans="1:25" x14ac:dyDescent="0.2">
      <c r="B18" s="1" t="s">
        <v>15</v>
      </c>
      <c r="C18" s="1">
        <v>3</v>
      </c>
      <c r="D18" s="1">
        <v>5.0000000000000001E-3</v>
      </c>
      <c r="J18" s="1" t="s">
        <v>4</v>
      </c>
      <c r="K18" s="1" t="s">
        <v>5</v>
      </c>
      <c r="L18" s="1">
        <v>3</v>
      </c>
      <c r="M18" s="1">
        <v>0.9</v>
      </c>
      <c r="N18" s="1">
        <v>1.4</v>
      </c>
      <c r="X18" s="1">
        <v>0.1</v>
      </c>
    </row>
    <row r="19" spans="1:25" x14ac:dyDescent="0.2">
      <c r="B19" s="1" t="s">
        <v>18</v>
      </c>
      <c r="C19" s="1">
        <v>7</v>
      </c>
      <c r="D19" s="1">
        <v>0.01</v>
      </c>
      <c r="J19" s="1" t="s">
        <v>6</v>
      </c>
      <c r="K19" s="1" t="s">
        <v>38</v>
      </c>
      <c r="L19" s="1">
        <v>4</v>
      </c>
      <c r="M19" s="1">
        <v>1.1000000000000001</v>
      </c>
      <c r="N19" s="1">
        <v>1.6</v>
      </c>
      <c r="X19" s="1">
        <v>0.15</v>
      </c>
    </row>
    <row r="20" spans="1:25" x14ac:dyDescent="0.2">
      <c r="J20" s="1" t="s">
        <v>8</v>
      </c>
      <c r="K20" s="1" t="s">
        <v>39</v>
      </c>
      <c r="L20" s="1">
        <v>5</v>
      </c>
      <c r="X20" s="1">
        <v>0.2</v>
      </c>
    </row>
    <row r="22" spans="1:25" x14ac:dyDescent="0.2">
      <c r="F22" s="55" t="s">
        <v>48</v>
      </c>
      <c r="G22" s="56">
        <v>1</v>
      </c>
      <c r="H22" s="99" t="s">
        <v>92</v>
      </c>
    </row>
    <row r="23" spans="1:25" x14ac:dyDescent="0.2">
      <c r="F23" s="55" t="s">
        <v>49</v>
      </c>
      <c r="G23" s="56">
        <v>1</v>
      </c>
      <c r="H23" s="99"/>
    </row>
    <row r="26" spans="1:25" x14ac:dyDescent="0.2">
      <c r="F26" s="1" t="s">
        <v>33</v>
      </c>
      <c r="G26" s="1" t="s">
        <v>11</v>
      </c>
      <c r="H26" s="1">
        <v>1</v>
      </c>
      <c r="I26" s="1">
        <v>50</v>
      </c>
      <c r="J26" s="1">
        <v>25</v>
      </c>
    </row>
    <row r="27" spans="1:25" x14ac:dyDescent="0.2">
      <c r="F27" s="1" t="s">
        <v>34</v>
      </c>
      <c r="G27" s="1" t="s">
        <v>11</v>
      </c>
      <c r="H27" s="1">
        <v>1.5</v>
      </c>
      <c r="I27" s="1">
        <v>50</v>
      </c>
      <c r="J27" s="1">
        <v>25</v>
      </c>
    </row>
    <row r="28" spans="1:25" x14ac:dyDescent="0.2">
      <c r="F28" s="1" t="s">
        <v>13</v>
      </c>
      <c r="G28" s="1" t="s">
        <v>14</v>
      </c>
      <c r="H28" s="1">
        <v>1.3</v>
      </c>
      <c r="I28" s="1">
        <v>50</v>
      </c>
      <c r="J28" s="1">
        <v>25</v>
      </c>
    </row>
    <row r="29" spans="1:25" x14ac:dyDescent="0.2">
      <c r="F29" s="1" t="s">
        <v>16</v>
      </c>
      <c r="G29" s="1" t="s">
        <v>17</v>
      </c>
      <c r="H29" s="1">
        <v>1</v>
      </c>
      <c r="I29" s="1">
        <v>25</v>
      </c>
      <c r="J29" s="1">
        <v>25</v>
      </c>
    </row>
    <row r="30" spans="1:25" x14ac:dyDescent="0.2">
      <c r="F30" s="1" t="s">
        <v>19</v>
      </c>
      <c r="G30" s="1" t="s">
        <v>20</v>
      </c>
      <c r="H30" s="14">
        <v>0.9</v>
      </c>
      <c r="I30" s="14">
        <v>30</v>
      </c>
      <c r="J30" s="14">
        <v>25</v>
      </c>
    </row>
    <row r="32" spans="1:25" x14ac:dyDescent="0.2">
      <c r="A32" s="1">
        <v>1</v>
      </c>
      <c r="B32" s="1" t="s">
        <v>65</v>
      </c>
    </row>
    <row r="33" spans="1:2" x14ac:dyDescent="0.2">
      <c r="A33" s="1">
        <v>2</v>
      </c>
      <c r="B33" s="1" t="s">
        <v>66</v>
      </c>
    </row>
    <row r="34" spans="1:2" x14ac:dyDescent="0.2">
      <c r="A34" s="1">
        <v>3</v>
      </c>
      <c r="B34" s="1" t="s">
        <v>67</v>
      </c>
    </row>
    <row r="35" spans="1:2" x14ac:dyDescent="0.2">
      <c r="A35" s="1">
        <v>4</v>
      </c>
      <c r="B35" s="1" t="s">
        <v>68</v>
      </c>
    </row>
    <row r="36" spans="1:2" x14ac:dyDescent="0.2">
      <c r="A36" s="1">
        <v>5</v>
      </c>
      <c r="B36" s="1" t="s">
        <v>69</v>
      </c>
    </row>
    <row r="37" spans="1:2" x14ac:dyDescent="0.2">
      <c r="A37" s="1">
        <v>6</v>
      </c>
      <c r="B37" s="1" t="s">
        <v>70</v>
      </c>
    </row>
    <row r="38" spans="1:2" x14ac:dyDescent="0.2">
      <c r="A38" s="1">
        <v>7</v>
      </c>
      <c r="B38" s="1" t="s">
        <v>71</v>
      </c>
    </row>
    <row r="39" spans="1:2" x14ac:dyDescent="0.2">
      <c r="A39" s="1">
        <v>8</v>
      </c>
      <c r="B39" s="1" t="s">
        <v>72</v>
      </c>
    </row>
    <row r="40" spans="1:2" x14ac:dyDescent="0.2">
      <c r="A40" s="1">
        <v>9</v>
      </c>
      <c r="B40" s="1" t="s">
        <v>73</v>
      </c>
    </row>
    <row r="41" spans="1:2" x14ac:dyDescent="0.2">
      <c r="A41" s="1">
        <v>10</v>
      </c>
      <c r="B41" s="1" t="s">
        <v>74</v>
      </c>
    </row>
    <row r="42" spans="1:2" x14ac:dyDescent="0.2">
      <c r="A42" s="1">
        <v>11</v>
      </c>
      <c r="B42" s="1" t="s">
        <v>75</v>
      </c>
    </row>
    <row r="43" spans="1:2" x14ac:dyDescent="0.2">
      <c r="A43" s="1">
        <v>12</v>
      </c>
      <c r="B43" s="1" t="s">
        <v>76</v>
      </c>
    </row>
    <row r="44" spans="1:2" x14ac:dyDescent="0.2">
      <c r="A44" s="1">
        <v>13</v>
      </c>
      <c r="B44" s="1" t="s">
        <v>77</v>
      </c>
    </row>
    <row r="45" spans="1:2" x14ac:dyDescent="0.2">
      <c r="A45" s="1">
        <v>14</v>
      </c>
      <c r="B45" s="1" t="s">
        <v>78</v>
      </c>
    </row>
    <row r="46" spans="1:2" x14ac:dyDescent="0.2">
      <c r="A46" s="1">
        <v>15</v>
      </c>
      <c r="B46" s="1" t="s">
        <v>79</v>
      </c>
    </row>
    <row r="47" spans="1:2" x14ac:dyDescent="0.2">
      <c r="A47" s="1">
        <v>16</v>
      </c>
      <c r="B47" s="1" t="s">
        <v>80</v>
      </c>
    </row>
    <row r="48" spans="1:2" x14ac:dyDescent="0.2">
      <c r="A48" s="1">
        <v>17</v>
      </c>
      <c r="B48" s="1" t="s">
        <v>81</v>
      </c>
    </row>
    <row r="49" spans="1:2" x14ac:dyDescent="0.2">
      <c r="A49" s="1">
        <v>18</v>
      </c>
      <c r="B49" s="1" t="s">
        <v>82</v>
      </c>
    </row>
    <row r="50" spans="1:2" x14ac:dyDescent="0.2">
      <c r="A50" s="1">
        <v>19</v>
      </c>
      <c r="B50" s="1" t="s">
        <v>83</v>
      </c>
    </row>
    <row r="51" spans="1:2" x14ac:dyDescent="0.2">
      <c r="A51" s="1">
        <v>20</v>
      </c>
      <c r="B51" s="1" t="s">
        <v>84</v>
      </c>
    </row>
    <row r="52" spans="1:2" x14ac:dyDescent="0.2">
      <c r="A52" s="1">
        <v>21</v>
      </c>
      <c r="B52" s="1" t="s">
        <v>85</v>
      </c>
    </row>
    <row r="53" spans="1:2" x14ac:dyDescent="0.2">
      <c r="A53" s="1">
        <v>22</v>
      </c>
      <c r="B53" s="1" t="s">
        <v>86</v>
      </c>
    </row>
    <row r="54" spans="1:2" x14ac:dyDescent="0.2">
      <c r="A54" s="1">
        <v>23</v>
      </c>
      <c r="B54" s="1" t="s">
        <v>87</v>
      </c>
    </row>
    <row r="55" spans="1:2" x14ac:dyDescent="0.2">
      <c r="A55" s="1">
        <v>24</v>
      </c>
      <c r="B55" s="1" t="s">
        <v>88</v>
      </c>
    </row>
    <row r="56" spans="1:2" x14ac:dyDescent="0.2">
      <c r="A56" s="1">
        <v>25</v>
      </c>
      <c r="B56" s="1" t="s">
        <v>89</v>
      </c>
    </row>
  </sheetData>
  <mergeCells count="1">
    <mergeCell ref="H22:H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P22"/>
  <sheetViews>
    <sheetView topLeftCell="D1" workbookViewId="0">
      <selection activeCell="I12" sqref="I12"/>
    </sheetView>
  </sheetViews>
  <sheetFormatPr baseColWidth="10" defaultRowHeight="15" x14ac:dyDescent="0.25"/>
  <cols>
    <col min="3" max="6" width="11.42578125" style="57"/>
  </cols>
  <sheetData>
    <row r="2" spans="2:16" x14ac:dyDescent="0.25">
      <c r="C2" s="57" t="s">
        <v>94</v>
      </c>
      <c r="D2" s="57" t="s">
        <v>3</v>
      </c>
      <c r="E2" s="57" t="s">
        <v>4</v>
      </c>
      <c r="F2" s="57" t="s">
        <v>6</v>
      </c>
    </row>
    <row r="3" spans="2:16" x14ac:dyDescent="0.25">
      <c r="B3" s="57" t="s">
        <v>93</v>
      </c>
      <c r="C3" s="57">
        <v>0.3</v>
      </c>
      <c r="D3" s="57">
        <v>0.4</v>
      </c>
      <c r="E3" s="57">
        <v>0.6</v>
      </c>
      <c r="F3" s="57">
        <v>1</v>
      </c>
    </row>
    <row r="5" spans="2:16" x14ac:dyDescent="0.25">
      <c r="J5" t="s">
        <v>23</v>
      </c>
      <c r="K5">
        <v>0.45</v>
      </c>
    </row>
    <row r="6" spans="2:16" x14ac:dyDescent="0.25">
      <c r="J6" t="s">
        <v>25</v>
      </c>
      <c r="K6">
        <v>1</v>
      </c>
    </row>
    <row r="7" spans="2:16" x14ac:dyDescent="0.25">
      <c r="H7">
        <f>1/2.5</f>
        <v>0.4</v>
      </c>
      <c r="J7" t="s">
        <v>95</v>
      </c>
      <c r="K7">
        <v>2.5</v>
      </c>
      <c r="L7">
        <f>2.5*1</f>
        <v>2.5</v>
      </c>
    </row>
    <row r="8" spans="2:16" x14ac:dyDescent="0.25">
      <c r="J8" t="s">
        <v>27</v>
      </c>
      <c r="K8">
        <v>1.2</v>
      </c>
    </row>
    <row r="9" spans="2:16" x14ac:dyDescent="0.25">
      <c r="J9" t="s">
        <v>31</v>
      </c>
      <c r="K9">
        <v>8</v>
      </c>
    </row>
    <row r="10" spans="2:16" x14ac:dyDescent="0.25">
      <c r="K10" s="58" t="s">
        <v>96</v>
      </c>
      <c r="L10" s="61">
        <f>PRODUCT(K5:K8)/K9</f>
        <v>0.16874999999999998</v>
      </c>
      <c r="M10" s="58" t="s">
        <v>98</v>
      </c>
      <c r="N10" s="59">
        <f>L10*1.5</f>
        <v>0.25312499999999999</v>
      </c>
      <c r="O10" s="58" t="s">
        <v>100</v>
      </c>
      <c r="P10">
        <f>N10/0.44</f>
        <v>0.57528409090909083</v>
      </c>
    </row>
    <row r="11" spans="2:16" x14ac:dyDescent="0.25">
      <c r="K11" s="58" t="s">
        <v>97</v>
      </c>
      <c r="L11" s="61">
        <f>K5*K6*L7*K8/K9</f>
        <v>0.16874999999999998</v>
      </c>
      <c r="M11" s="58" t="s">
        <v>99</v>
      </c>
      <c r="N11" s="59">
        <f>L11*1.5</f>
        <v>0.25312499999999999</v>
      </c>
      <c r="O11" s="58" t="s">
        <v>101</v>
      </c>
    </row>
    <row r="12" spans="2:16" x14ac:dyDescent="0.25">
      <c r="J12">
        <f>2.5*0.6</f>
        <v>1.5</v>
      </c>
      <c r="P12">
        <f>0.5*1.7</f>
        <v>0.85</v>
      </c>
    </row>
    <row r="14" spans="2:16" x14ac:dyDescent="0.25">
      <c r="I14">
        <f>1/0.8</f>
        <v>1.25</v>
      </c>
    </row>
    <row r="16" spans="2:16" x14ac:dyDescent="0.25">
      <c r="K16">
        <f>L11/L10</f>
        <v>1</v>
      </c>
    </row>
    <row r="17" spans="10:11" x14ac:dyDescent="0.25">
      <c r="K17">
        <f>0.2*K16</f>
        <v>0.2</v>
      </c>
    </row>
    <row r="19" spans="10:11" x14ac:dyDescent="0.25">
      <c r="J19">
        <f>5000*0.3048</f>
        <v>1524</v>
      </c>
    </row>
    <row r="20" spans="10:11" x14ac:dyDescent="0.25">
      <c r="J20">
        <f>2500*0.3048</f>
        <v>762</v>
      </c>
    </row>
    <row r="21" spans="10:11" x14ac:dyDescent="0.25">
      <c r="J21">
        <f>1200*0.3048</f>
        <v>365.76</v>
      </c>
    </row>
    <row r="22" spans="10:11" x14ac:dyDescent="0.25">
      <c r="J22">
        <f>600*0.3048</f>
        <v>182.88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Espectro</vt:lpstr>
      <vt:lpstr>Parametros</vt:lpstr>
      <vt:lpstr>Hoja1</vt:lpstr>
      <vt:lpstr>E-Diseño</vt:lpstr>
      <vt:lpstr>Sa-Vertical</vt:lpstr>
      <vt:lpstr>Sv-T</vt:lpstr>
      <vt:lpstr>Sd-T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Henrry Palomino</dc:creator>
  <cp:lastModifiedBy>Alex Henrry Palomino Encinas</cp:lastModifiedBy>
  <dcterms:created xsi:type="dcterms:W3CDTF">2014-09-28T04:07:05Z</dcterms:created>
  <dcterms:modified xsi:type="dcterms:W3CDTF">2017-11-02T22:21:25Z</dcterms:modified>
</cp:coreProperties>
</file>